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charts/chart2.xml" ContentType="application/vnd.openxmlformats-officedocument.drawingml.char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3965" windowHeight="5085"/>
  </bookViews>
  <sheets>
    <sheet name="Conversions" sheetId="4" r:id="rId1"/>
    <sheet name="Usage-Cost" sheetId="3" r:id="rId2"/>
    <sheet name="Consumption-City" sheetId="1" r:id="rId3"/>
    <sheet name="Ag-Pumps" sheetId="7" r:id="rId4"/>
    <sheet name="Ag-Pumps(PGnE)" sheetId="9" r:id="rId5"/>
    <sheet name="Storage" sheetId="5" r:id="rId6"/>
    <sheet name="SI_Units" sheetId="6" r:id="rId7"/>
  </sheets>
  <definedNames>
    <definedName name="_Regression_Int" localSheetId="2" hidden="1">1</definedName>
    <definedName name="Acceleration">Conversions!$B$156</definedName>
    <definedName name="Ag_Pumps_PGnE">Table7[#All]</definedName>
    <definedName name="Ag_Well_Pumps">'Ag-Pumps'!$A$1:$N$11</definedName>
    <definedName name="Cal_Poly_Agricultural_Water_from_Whale_Rock_Reservoir__acre_feet">'Consumption-City'!$A$37:$O$51</definedName>
    <definedName name="Cal_Poly_Agricultural_Water_Use__acre_feet">'Consumption-City'!$A$21:$O$36</definedName>
    <definedName name="Cal_Poly_Domestic_Water_Use">'Consumption-City'!$A$1:$O$16</definedName>
    <definedName name="Cal_Poly_Domestic_Water_Use_from_billings">'Consumption-City'!$G$1</definedName>
    <definedName name="Data">Conversions!$B$186</definedName>
    <definedName name="Energy">Conversions!$B$111</definedName>
    <definedName name="Force">Conversions!$B$126</definedName>
    <definedName name="Power">Conversions!$B$97</definedName>
    <definedName name="Print_Area_MI" localSheetId="2">'Consumption-City'!#REF!</definedName>
    <definedName name="Temperature">Conversions!$B$135</definedName>
    <definedName name="Time">Conversions!$B$167</definedName>
    <definedName name="Updates">Conversions!$B$201</definedName>
    <definedName name="Usage_Cost">Table1[#All]</definedName>
    <definedName name="Velocity">Conversions!$B$142</definedName>
    <definedName name="Whale_Rock_Reservoir_Storage">Storage!$A$1:$O$6</definedName>
  </definedNames>
  <calcPr calcId="144525" iterate="1" iterateCount="1" calcOnSave="0"/>
</workbook>
</file>

<file path=xl/calcChain.xml><?xml version="1.0" encoding="utf-8"?>
<calcChain xmlns="http://schemas.openxmlformats.org/spreadsheetml/2006/main">
  <c r="N11" i="6" l="1"/>
  <c r="N12" i="6"/>
  <c r="N10" i="6"/>
  <c r="B6" i="5"/>
  <c r="B17" i="3"/>
  <c r="B4" i="6" s="1"/>
  <c r="C17" i="3"/>
  <c r="C4" i="6" s="1"/>
  <c r="D17" i="3"/>
  <c r="D4" i="6" s="1"/>
  <c r="E17" i="3"/>
  <c r="E4" i="6" s="1"/>
  <c r="F17" i="3"/>
  <c r="F4" i="6" s="1"/>
  <c r="G17" i="3"/>
  <c r="G4" i="6" s="1"/>
  <c r="H17" i="3"/>
  <c r="H4" i="6" s="1"/>
  <c r="I17" i="3"/>
  <c r="I4" i="6" s="1"/>
  <c r="J17" i="3"/>
  <c r="J4" i="6" s="1"/>
  <c r="K17" i="3"/>
  <c r="K4" i="6" s="1"/>
  <c r="L17" i="3"/>
  <c r="L4" i="6" s="1"/>
  <c r="M17" i="3"/>
  <c r="M4" i="6" s="1"/>
  <c r="N17" i="3"/>
  <c r="O4" i="6" s="1"/>
  <c r="B5" i="5"/>
  <c r="B6" i="6" s="1"/>
  <c r="C6" i="5"/>
  <c r="C5" i="5" s="1"/>
  <c r="C6" i="6" s="1"/>
  <c r="D6" i="5"/>
  <c r="D5" i="5" s="1"/>
  <c r="D6" i="6" s="1"/>
  <c r="E6" i="5"/>
  <c r="E5" i="5" s="1"/>
  <c r="E6" i="6" s="1"/>
  <c r="F6" i="5"/>
  <c r="F5" i="5" s="1"/>
  <c r="F6" i="6" s="1"/>
  <c r="G6" i="5"/>
  <c r="G5" i="5" s="1"/>
  <c r="G6" i="6" s="1"/>
  <c r="H6" i="5"/>
  <c r="H5" i="5" s="1"/>
  <c r="H6" i="6" s="1"/>
  <c r="I6" i="5"/>
  <c r="I5" i="5" s="1"/>
  <c r="I6" i="6" s="1"/>
  <c r="J6" i="5"/>
  <c r="J5" i="5" s="1"/>
  <c r="J6" i="6" s="1"/>
  <c r="K6" i="5"/>
  <c r="K5" i="5" s="1"/>
  <c r="K6" i="6" s="1"/>
  <c r="L6" i="5"/>
  <c r="L5" i="5" s="1"/>
  <c r="L6" i="6" s="1"/>
  <c r="M6" i="5"/>
  <c r="M5" i="5" s="1"/>
  <c r="M6" i="6" s="1"/>
  <c r="N6" i="5"/>
  <c r="N5" i="5" s="1"/>
  <c r="O6" i="6" s="1"/>
  <c r="O6" i="5"/>
  <c r="O5" i="5" s="1"/>
  <c r="B15" i="9"/>
  <c r="C15" i="9"/>
  <c r="E15" i="9"/>
  <c r="F15" i="9"/>
  <c r="H15" i="9"/>
  <c r="I15" i="9"/>
  <c r="K15" i="9"/>
  <c r="L15" i="9"/>
  <c r="N15" i="9"/>
  <c r="O15" i="9"/>
  <c r="Q15" i="9"/>
  <c r="R15" i="9"/>
  <c r="B28" i="9"/>
  <c r="C28" i="9"/>
  <c r="E28" i="9"/>
  <c r="F28" i="9"/>
  <c r="H28" i="9"/>
  <c r="I28" i="9"/>
  <c r="K28" i="9"/>
  <c r="L28" i="9"/>
  <c r="N28" i="9"/>
  <c r="O28" i="9"/>
  <c r="Q28" i="9"/>
  <c r="R28" i="9"/>
  <c r="B41" i="9"/>
  <c r="C41" i="9"/>
  <c r="E41" i="9"/>
  <c r="F41" i="9"/>
  <c r="H41" i="9"/>
  <c r="I41" i="9"/>
  <c r="K41" i="9"/>
  <c r="L41" i="9"/>
  <c r="N41" i="9"/>
  <c r="O41" i="9"/>
  <c r="Q41" i="9"/>
  <c r="R41" i="9"/>
  <c r="B54" i="9"/>
  <c r="C54" i="9"/>
  <c r="E54" i="9"/>
  <c r="F54" i="9"/>
  <c r="H54" i="9"/>
  <c r="I54" i="9"/>
  <c r="K54" i="9"/>
  <c r="L54" i="9"/>
  <c r="N54" i="9"/>
  <c r="O54" i="9"/>
  <c r="Q54" i="9"/>
  <c r="R54" i="9"/>
  <c r="B67" i="9"/>
  <c r="C67" i="9"/>
  <c r="E67" i="9"/>
  <c r="F67" i="9"/>
  <c r="H67" i="9"/>
  <c r="I67" i="9"/>
  <c r="K67" i="9"/>
  <c r="L67" i="9"/>
  <c r="N67" i="9"/>
  <c r="O67" i="9"/>
  <c r="Q67" i="9"/>
  <c r="R67" i="9"/>
  <c r="D6" i="7"/>
  <c r="E6" i="7"/>
  <c r="F6" i="7"/>
  <c r="G6" i="7"/>
  <c r="H6" i="7"/>
  <c r="I6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O20" i="1" s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B4" i="3"/>
  <c r="B3" i="6" s="1"/>
  <c r="C4" i="3"/>
  <c r="C3" i="6" s="1"/>
  <c r="D4" i="3"/>
  <c r="D3" i="6" s="1"/>
  <c r="E4" i="3"/>
  <c r="F4" i="3"/>
  <c r="F3" i="6" s="1"/>
  <c r="G4" i="3"/>
  <c r="G3" i="6" s="1"/>
  <c r="H4" i="3"/>
  <c r="H3" i="6" s="1"/>
  <c r="I4" i="3"/>
  <c r="J4" i="3"/>
  <c r="J3" i="6" s="1"/>
  <c r="K4" i="3"/>
  <c r="K3" i="6" s="1"/>
  <c r="L4" i="3"/>
  <c r="L3" i="6" s="1"/>
  <c r="M4" i="3"/>
  <c r="N4" i="3"/>
  <c r="O3" i="6" s="1"/>
  <c r="B7" i="3"/>
  <c r="C7" i="3"/>
  <c r="D7" i="3"/>
  <c r="E7" i="3"/>
  <c r="F7" i="3"/>
  <c r="G7" i="3"/>
  <c r="H7" i="3"/>
  <c r="I7" i="3"/>
  <c r="J7" i="3"/>
  <c r="K7" i="3"/>
  <c r="L7" i="3"/>
  <c r="M7" i="3"/>
  <c r="N7" i="3"/>
  <c r="H8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D28" i="3"/>
  <c r="D29" i="3" s="1"/>
  <c r="E28" i="3"/>
  <c r="E29" i="3" s="1"/>
  <c r="F28" i="3"/>
  <c r="F29" i="3" s="1"/>
  <c r="G28" i="3"/>
  <c r="H28" i="3"/>
  <c r="H29" i="3" s="1"/>
  <c r="I28" i="3"/>
  <c r="I29" i="3" s="1"/>
  <c r="J28" i="3"/>
  <c r="J29" i="3" s="1"/>
  <c r="K28" i="3"/>
  <c r="K29" i="3" s="1"/>
  <c r="L28" i="3"/>
  <c r="L29" i="3" s="1"/>
  <c r="M28" i="3"/>
  <c r="M29" i="3" s="1"/>
  <c r="N28" i="3"/>
  <c r="N29" i="3" s="1"/>
  <c r="G29" i="3"/>
  <c r="D34" i="3"/>
  <c r="D35" i="3" s="1"/>
  <c r="E34" i="3"/>
  <c r="E35" i="3" s="1"/>
  <c r="F34" i="3"/>
  <c r="F35" i="3" s="1"/>
  <c r="G34" i="3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G35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D11" i="4"/>
  <c r="E11" i="4"/>
  <c r="F11" i="4"/>
  <c r="G11" i="4"/>
  <c r="H11" i="4"/>
  <c r="I11" i="4"/>
  <c r="J11" i="4"/>
  <c r="L11" i="4"/>
  <c r="D12" i="4"/>
  <c r="E12" i="4"/>
  <c r="F12" i="4"/>
  <c r="G12" i="4"/>
  <c r="H12" i="4"/>
  <c r="I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D16" i="4"/>
  <c r="F16" i="4"/>
  <c r="G16" i="4"/>
  <c r="H16" i="4"/>
  <c r="I16" i="4"/>
  <c r="J16" i="4"/>
  <c r="K16" i="4"/>
  <c r="L16" i="4"/>
  <c r="M16" i="4"/>
  <c r="N16" i="4"/>
  <c r="O16" i="4"/>
  <c r="P16" i="4"/>
  <c r="Q16" i="4"/>
  <c r="D17" i="4"/>
  <c r="E17" i="4"/>
  <c r="G17" i="4"/>
  <c r="H17" i="4"/>
  <c r="I17" i="4"/>
  <c r="J17" i="4"/>
  <c r="K17" i="4"/>
  <c r="L17" i="4"/>
  <c r="M17" i="4"/>
  <c r="N17" i="4"/>
  <c r="O17" i="4"/>
  <c r="P17" i="4"/>
  <c r="Q17" i="4"/>
  <c r="D18" i="4"/>
  <c r="E18" i="4"/>
  <c r="F18" i="4"/>
  <c r="H18" i="4"/>
  <c r="I18" i="4"/>
  <c r="J18" i="4"/>
  <c r="K18" i="4"/>
  <c r="L18" i="4"/>
  <c r="M18" i="4"/>
  <c r="N18" i="4"/>
  <c r="O18" i="4"/>
  <c r="P18" i="4"/>
  <c r="Q18" i="4"/>
  <c r="D19" i="4"/>
  <c r="E19" i="4"/>
  <c r="F19" i="4"/>
  <c r="G19" i="4"/>
  <c r="I19" i="4"/>
  <c r="J19" i="4"/>
  <c r="K19" i="4"/>
  <c r="L19" i="4"/>
  <c r="M19" i="4"/>
  <c r="N19" i="4"/>
  <c r="O19" i="4"/>
  <c r="P19" i="4"/>
  <c r="Q19" i="4"/>
  <c r="D20" i="4"/>
  <c r="E20" i="4"/>
  <c r="F20" i="4"/>
  <c r="G20" i="4"/>
  <c r="H20" i="4"/>
  <c r="J20" i="4"/>
  <c r="K20" i="4"/>
  <c r="L20" i="4"/>
  <c r="M20" i="4"/>
  <c r="N20" i="4"/>
  <c r="O20" i="4"/>
  <c r="P20" i="4"/>
  <c r="Q20" i="4"/>
  <c r="D21" i="4"/>
  <c r="E21" i="4"/>
  <c r="F21" i="4"/>
  <c r="G21" i="4"/>
  <c r="H21" i="4"/>
  <c r="I21" i="4"/>
  <c r="K21" i="4"/>
  <c r="L21" i="4"/>
  <c r="M21" i="4"/>
  <c r="N21" i="4"/>
  <c r="O21" i="4"/>
  <c r="P21" i="4"/>
  <c r="Q21" i="4"/>
  <c r="D22" i="4"/>
  <c r="E22" i="4"/>
  <c r="F22" i="4"/>
  <c r="G22" i="4"/>
  <c r="H22" i="4"/>
  <c r="I22" i="4"/>
  <c r="J22" i="4"/>
  <c r="L22" i="4"/>
  <c r="M22" i="4"/>
  <c r="N22" i="4"/>
  <c r="O22" i="4"/>
  <c r="P22" i="4"/>
  <c r="Q22" i="4"/>
  <c r="D23" i="4"/>
  <c r="E23" i="4"/>
  <c r="F23" i="4"/>
  <c r="G23" i="4"/>
  <c r="H23" i="4"/>
  <c r="I23" i="4"/>
  <c r="J23" i="4"/>
  <c r="K23" i="4"/>
  <c r="M23" i="4"/>
  <c r="N23" i="4"/>
  <c r="O23" i="4"/>
  <c r="P23" i="4"/>
  <c r="Q23" i="4"/>
  <c r="D24" i="4"/>
  <c r="E24" i="4"/>
  <c r="F24" i="4"/>
  <c r="G24" i="4"/>
  <c r="H24" i="4"/>
  <c r="I24" i="4"/>
  <c r="J24" i="4"/>
  <c r="K24" i="4"/>
  <c r="L24" i="4"/>
  <c r="N24" i="4"/>
  <c r="O24" i="4"/>
  <c r="P24" i="4"/>
  <c r="Q24" i="4"/>
  <c r="D25" i="4"/>
  <c r="E25" i="4"/>
  <c r="F25" i="4"/>
  <c r="G25" i="4"/>
  <c r="H25" i="4"/>
  <c r="I25" i="4"/>
  <c r="J25" i="4"/>
  <c r="K25" i="4"/>
  <c r="L25" i="4"/>
  <c r="M25" i="4"/>
  <c r="O25" i="4"/>
  <c r="P25" i="4"/>
  <c r="Q25" i="4"/>
  <c r="D26" i="4"/>
  <c r="E26" i="4"/>
  <c r="F26" i="4"/>
  <c r="G26" i="4"/>
  <c r="H26" i="4"/>
  <c r="I26" i="4"/>
  <c r="J26" i="4"/>
  <c r="K26" i="4"/>
  <c r="L26" i="4"/>
  <c r="M26" i="4"/>
  <c r="N26" i="4"/>
  <c r="P26" i="4"/>
  <c r="Q26" i="4"/>
  <c r="D27" i="4"/>
  <c r="E27" i="4"/>
  <c r="F27" i="4"/>
  <c r="G27" i="4"/>
  <c r="H27" i="4"/>
  <c r="I27" i="4"/>
  <c r="J27" i="4"/>
  <c r="K27" i="4"/>
  <c r="L27" i="4"/>
  <c r="M27" i="4"/>
  <c r="N27" i="4"/>
  <c r="O27" i="4"/>
  <c r="Q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E33" i="4"/>
  <c r="F33" i="4"/>
  <c r="G33" i="4"/>
  <c r="H33" i="4"/>
  <c r="I33" i="4"/>
  <c r="J33" i="4"/>
  <c r="K33" i="4"/>
  <c r="L33" i="4"/>
  <c r="M33" i="4"/>
  <c r="N33" i="4"/>
  <c r="O33" i="4"/>
  <c r="D34" i="4"/>
  <c r="F34" i="4"/>
  <c r="G34" i="4"/>
  <c r="H34" i="4"/>
  <c r="I34" i="4"/>
  <c r="J34" i="4"/>
  <c r="K34" i="4"/>
  <c r="L34" i="4"/>
  <c r="M34" i="4"/>
  <c r="N34" i="4"/>
  <c r="O34" i="4"/>
  <c r="D35" i="4"/>
  <c r="E35" i="4"/>
  <c r="G35" i="4"/>
  <c r="H35" i="4"/>
  <c r="I35" i="4"/>
  <c r="J35" i="4"/>
  <c r="K35" i="4"/>
  <c r="L35" i="4"/>
  <c r="M35" i="4"/>
  <c r="N35" i="4"/>
  <c r="O35" i="4"/>
  <c r="D36" i="4"/>
  <c r="E36" i="4"/>
  <c r="F36" i="4"/>
  <c r="H36" i="4"/>
  <c r="I36" i="4"/>
  <c r="J36" i="4"/>
  <c r="K36" i="4"/>
  <c r="L36" i="4"/>
  <c r="M36" i="4"/>
  <c r="N36" i="4"/>
  <c r="O36" i="4"/>
  <c r="D37" i="4"/>
  <c r="E37" i="4"/>
  <c r="F37" i="4"/>
  <c r="G37" i="4"/>
  <c r="I37" i="4"/>
  <c r="J37" i="4"/>
  <c r="K37" i="4"/>
  <c r="L37" i="4"/>
  <c r="M37" i="4"/>
  <c r="N37" i="4"/>
  <c r="O37" i="4"/>
  <c r="D38" i="4"/>
  <c r="E38" i="4"/>
  <c r="F38" i="4"/>
  <c r="G38" i="4"/>
  <c r="H38" i="4"/>
  <c r="J38" i="4"/>
  <c r="K38" i="4"/>
  <c r="L38" i="4"/>
  <c r="M38" i="4"/>
  <c r="N38" i="4"/>
  <c r="O38" i="4"/>
  <c r="D39" i="4"/>
  <c r="E39" i="4"/>
  <c r="F39" i="4"/>
  <c r="G39" i="4"/>
  <c r="H39" i="4"/>
  <c r="I39" i="4"/>
  <c r="K39" i="4"/>
  <c r="L39" i="4"/>
  <c r="M39" i="4"/>
  <c r="N39" i="4"/>
  <c r="O39" i="4"/>
  <c r="D40" i="4"/>
  <c r="E40" i="4"/>
  <c r="F40" i="4"/>
  <c r="G40" i="4"/>
  <c r="H40" i="4"/>
  <c r="I40" i="4"/>
  <c r="J40" i="4"/>
  <c r="L40" i="4"/>
  <c r="M40" i="4"/>
  <c r="N40" i="4"/>
  <c r="O40" i="4"/>
  <c r="D41" i="4"/>
  <c r="E41" i="4"/>
  <c r="F41" i="4"/>
  <c r="G41" i="4"/>
  <c r="H41" i="4"/>
  <c r="I41" i="4"/>
  <c r="J41" i="4"/>
  <c r="K41" i="4"/>
  <c r="M41" i="4"/>
  <c r="N41" i="4"/>
  <c r="O41" i="4"/>
  <c r="D42" i="4"/>
  <c r="E42" i="4"/>
  <c r="F42" i="4"/>
  <c r="G42" i="4"/>
  <c r="H42" i="4"/>
  <c r="I42" i="4"/>
  <c r="J42" i="4"/>
  <c r="K42" i="4"/>
  <c r="L42" i="4"/>
  <c r="N42" i="4"/>
  <c r="O42" i="4"/>
  <c r="D43" i="4"/>
  <c r="E43" i="4"/>
  <c r="F43" i="4"/>
  <c r="G43" i="4"/>
  <c r="H43" i="4"/>
  <c r="I43" i="4"/>
  <c r="J43" i="4"/>
  <c r="K43" i="4"/>
  <c r="L43" i="4"/>
  <c r="M43" i="4"/>
  <c r="O43" i="4"/>
  <c r="D44" i="4"/>
  <c r="E44" i="4"/>
  <c r="F44" i="4"/>
  <c r="G44" i="4"/>
  <c r="H44" i="4"/>
  <c r="I44" i="4"/>
  <c r="J44" i="4"/>
  <c r="K44" i="4"/>
  <c r="L44" i="4"/>
  <c r="M44" i="4"/>
  <c r="N44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D52" i="4"/>
  <c r="E52" i="4"/>
  <c r="E51" i="4" s="1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D53" i="4"/>
  <c r="E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D54" i="4"/>
  <c r="E54" i="4"/>
  <c r="F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D55" i="4"/>
  <c r="E55" i="4"/>
  <c r="F55" i="4"/>
  <c r="G55" i="4"/>
  <c r="I55" i="4"/>
  <c r="J55" i="4"/>
  <c r="K55" i="4"/>
  <c r="L55" i="4"/>
  <c r="M55" i="4"/>
  <c r="N55" i="4"/>
  <c r="O55" i="4"/>
  <c r="P55" i="4"/>
  <c r="Q55" i="4"/>
  <c r="R55" i="4"/>
  <c r="S55" i="4"/>
  <c r="T55" i="4"/>
  <c r="D56" i="4"/>
  <c r="E56" i="4"/>
  <c r="F56" i="4"/>
  <c r="G56" i="4"/>
  <c r="H56" i="4"/>
  <c r="J56" i="4"/>
  <c r="K56" i="4"/>
  <c r="L56" i="4"/>
  <c r="M56" i="4"/>
  <c r="N56" i="4"/>
  <c r="O56" i="4"/>
  <c r="P56" i="4"/>
  <c r="Q56" i="4"/>
  <c r="R56" i="4"/>
  <c r="S56" i="4"/>
  <c r="T56" i="4"/>
  <c r="D57" i="4"/>
  <c r="E57" i="4"/>
  <c r="F57" i="4"/>
  <c r="G57" i="4"/>
  <c r="H57" i="4"/>
  <c r="I57" i="4"/>
  <c r="K57" i="4"/>
  <c r="L57" i="4"/>
  <c r="M57" i="4"/>
  <c r="N57" i="4"/>
  <c r="O57" i="4"/>
  <c r="P57" i="4"/>
  <c r="Q57" i="4"/>
  <c r="R57" i="4"/>
  <c r="S57" i="4"/>
  <c r="T57" i="4"/>
  <c r="D58" i="4"/>
  <c r="E58" i="4"/>
  <c r="F58" i="4"/>
  <c r="G58" i="4"/>
  <c r="H58" i="4"/>
  <c r="I58" i="4"/>
  <c r="J58" i="4"/>
  <c r="L58" i="4"/>
  <c r="M58" i="4"/>
  <c r="N58" i="4"/>
  <c r="O58" i="4"/>
  <c r="P58" i="4"/>
  <c r="Q58" i="4"/>
  <c r="R58" i="4"/>
  <c r="S58" i="4"/>
  <c r="T58" i="4"/>
  <c r="D59" i="4"/>
  <c r="E59" i="4"/>
  <c r="F59" i="4"/>
  <c r="G59" i="4"/>
  <c r="H59" i="4"/>
  <c r="I59" i="4"/>
  <c r="J59" i="4"/>
  <c r="K59" i="4"/>
  <c r="M59" i="4"/>
  <c r="N59" i="4"/>
  <c r="O59" i="4"/>
  <c r="P59" i="4"/>
  <c r="Q59" i="4"/>
  <c r="R59" i="4"/>
  <c r="S59" i="4"/>
  <c r="T59" i="4"/>
  <c r="D60" i="4"/>
  <c r="E60" i="4"/>
  <c r="F60" i="4"/>
  <c r="G60" i="4"/>
  <c r="H60" i="4"/>
  <c r="I60" i="4"/>
  <c r="J60" i="4"/>
  <c r="K60" i="4"/>
  <c r="L60" i="4"/>
  <c r="N60" i="4"/>
  <c r="O60" i="4"/>
  <c r="P60" i="4"/>
  <c r="Q60" i="4"/>
  <c r="R60" i="4"/>
  <c r="S60" i="4"/>
  <c r="T60" i="4"/>
  <c r="D61" i="4"/>
  <c r="E61" i="4"/>
  <c r="F61" i="4"/>
  <c r="G61" i="4"/>
  <c r="H61" i="4"/>
  <c r="I61" i="4"/>
  <c r="J61" i="4"/>
  <c r="K61" i="4"/>
  <c r="L61" i="4"/>
  <c r="M61" i="4"/>
  <c r="O61" i="4"/>
  <c r="P61" i="4"/>
  <c r="Q61" i="4"/>
  <c r="R61" i="4"/>
  <c r="S61" i="4"/>
  <c r="T61" i="4"/>
  <c r="D62" i="4"/>
  <c r="E62" i="4"/>
  <c r="F62" i="4"/>
  <c r="G62" i="4"/>
  <c r="H62" i="4"/>
  <c r="I62" i="4"/>
  <c r="J62" i="4"/>
  <c r="K62" i="4"/>
  <c r="L62" i="4"/>
  <c r="M62" i="4"/>
  <c r="N62" i="4"/>
  <c r="P62" i="4"/>
  <c r="Q62" i="4"/>
  <c r="R62" i="4"/>
  <c r="S62" i="4"/>
  <c r="T62" i="4"/>
  <c r="D63" i="4"/>
  <c r="E63" i="4"/>
  <c r="F63" i="4"/>
  <c r="G63" i="4"/>
  <c r="H63" i="4"/>
  <c r="I63" i="4"/>
  <c r="J63" i="4"/>
  <c r="K63" i="4"/>
  <c r="L63" i="4"/>
  <c r="M63" i="4"/>
  <c r="N63" i="4"/>
  <c r="O63" i="4"/>
  <c r="Q63" i="4"/>
  <c r="R63" i="4"/>
  <c r="S63" i="4"/>
  <c r="T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R64" i="4"/>
  <c r="S64" i="4"/>
  <c r="T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S65" i="4"/>
  <c r="T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T66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E74" i="4"/>
  <c r="F74" i="4"/>
  <c r="G74" i="4"/>
  <c r="H74" i="4"/>
  <c r="I74" i="4"/>
  <c r="D75" i="4"/>
  <c r="F75" i="4"/>
  <c r="G75" i="4"/>
  <c r="H75" i="4"/>
  <c r="I75" i="4"/>
  <c r="D76" i="4"/>
  <c r="E76" i="4"/>
  <c r="G76" i="4"/>
  <c r="H76" i="4"/>
  <c r="I76" i="4"/>
  <c r="D77" i="4"/>
  <c r="E77" i="4"/>
  <c r="F77" i="4"/>
  <c r="H77" i="4"/>
  <c r="I77" i="4"/>
  <c r="D78" i="4"/>
  <c r="E78" i="4"/>
  <c r="F78" i="4"/>
  <c r="G78" i="4"/>
  <c r="I78" i="4"/>
  <c r="D79" i="4"/>
  <c r="E79" i="4"/>
  <c r="F79" i="4"/>
  <c r="G79" i="4"/>
  <c r="H79" i="4"/>
  <c r="E84" i="4"/>
  <c r="F84" i="4"/>
  <c r="G84" i="4"/>
  <c r="H84" i="4"/>
  <c r="I84" i="4"/>
  <c r="J84" i="4"/>
  <c r="K84" i="4"/>
  <c r="L84" i="4"/>
  <c r="M84" i="4"/>
  <c r="D85" i="4"/>
  <c r="F85" i="4"/>
  <c r="G85" i="4"/>
  <c r="H85" i="4"/>
  <c r="I85" i="4"/>
  <c r="J85" i="4"/>
  <c r="K85" i="4"/>
  <c r="L85" i="4"/>
  <c r="M85" i="4"/>
  <c r="D86" i="4"/>
  <c r="E86" i="4"/>
  <c r="G86" i="4"/>
  <c r="H86" i="4"/>
  <c r="I86" i="4"/>
  <c r="J86" i="4"/>
  <c r="K86" i="4"/>
  <c r="L86" i="4"/>
  <c r="M86" i="4"/>
  <c r="D87" i="4"/>
  <c r="E87" i="4"/>
  <c r="F87" i="4"/>
  <c r="H87" i="4"/>
  <c r="I87" i="4"/>
  <c r="J87" i="4"/>
  <c r="K87" i="4"/>
  <c r="L87" i="4"/>
  <c r="M87" i="4"/>
  <c r="D88" i="4"/>
  <c r="E88" i="4"/>
  <c r="F88" i="4"/>
  <c r="G88" i="4"/>
  <c r="I88" i="4"/>
  <c r="J88" i="4"/>
  <c r="K88" i="4"/>
  <c r="L88" i="4"/>
  <c r="M88" i="4"/>
  <c r="D89" i="4"/>
  <c r="E89" i="4"/>
  <c r="F89" i="4"/>
  <c r="G89" i="4"/>
  <c r="H89" i="4"/>
  <c r="J89" i="4"/>
  <c r="K89" i="4"/>
  <c r="L89" i="4"/>
  <c r="M89" i="4"/>
  <c r="D90" i="4"/>
  <c r="E90" i="4"/>
  <c r="F90" i="4"/>
  <c r="G90" i="4"/>
  <c r="H90" i="4"/>
  <c r="I90" i="4"/>
  <c r="K90" i="4"/>
  <c r="L90" i="4"/>
  <c r="M90" i="4"/>
  <c r="D91" i="4"/>
  <c r="E91" i="4"/>
  <c r="F91" i="4"/>
  <c r="G91" i="4"/>
  <c r="H91" i="4"/>
  <c r="I91" i="4"/>
  <c r="J91" i="4"/>
  <c r="L91" i="4"/>
  <c r="M91" i="4"/>
  <c r="D92" i="4"/>
  <c r="E92" i="4"/>
  <c r="F92" i="4"/>
  <c r="G92" i="4"/>
  <c r="H92" i="4"/>
  <c r="I92" i="4"/>
  <c r="J92" i="4"/>
  <c r="K92" i="4"/>
  <c r="M92" i="4"/>
  <c r="D93" i="4"/>
  <c r="E93" i="4"/>
  <c r="F93" i="4"/>
  <c r="G93" i="4"/>
  <c r="H93" i="4"/>
  <c r="I93" i="4"/>
  <c r="J93" i="4"/>
  <c r="K93" i="4"/>
  <c r="L93" i="4"/>
  <c r="E98" i="4"/>
  <c r="F98" i="4"/>
  <c r="G98" i="4"/>
  <c r="H98" i="4"/>
  <c r="I98" i="4"/>
  <c r="D99" i="4"/>
  <c r="F99" i="4"/>
  <c r="G99" i="4"/>
  <c r="H99" i="4"/>
  <c r="I99" i="4"/>
  <c r="D100" i="4"/>
  <c r="E100" i="4"/>
  <c r="G100" i="4"/>
  <c r="H100" i="4"/>
  <c r="I100" i="4"/>
  <c r="D101" i="4"/>
  <c r="E101" i="4"/>
  <c r="F101" i="4"/>
  <c r="H101" i="4"/>
  <c r="I101" i="4"/>
  <c r="D102" i="4"/>
  <c r="E102" i="4"/>
  <c r="F102" i="4"/>
  <c r="G102" i="4"/>
  <c r="I102" i="4"/>
  <c r="D103" i="4"/>
  <c r="E103" i="4"/>
  <c r="F103" i="4"/>
  <c r="G103" i="4"/>
  <c r="H103" i="4"/>
  <c r="E112" i="4"/>
  <c r="F112" i="4"/>
  <c r="G112" i="4"/>
  <c r="H112" i="4"/>
  <c r="I112" i="4"/>
  <c r="J112" i="4"/>
  <c r="K112" i="4"/>
  <c r="L112" i="4"/>
  <c r="D113" i="4"/>
  <c r="F113" i="4"/>
  <c r="G113" i="4"/>
  <c r="H113" i="4"/>
  <c r="I113" i="4"/>
  <c r="J113" i="4"/>
  <c r="K113" i="4"/>
  <c r="L113" i="4"/>
  <c r="D114" i="4"/>
  <c r="E114" i="4"/>
  <c r="G114" i="4"/>
  <c r="H114" i="4"/>
  <c r="I114" i="4"/>
  <c r="J114" i="4"/>
  <c r="K114" i="4"/>
  <c r="L114" i="4"/>
  <c r="D115" i="4"/>
  <c r="E115" i="4"/>
  <c r="F115" i="4"/>
  <c r="H115" i="4"/>
  <c r="I115" i="4"/>
  <c r="J115" i="4"/>
  <c r="K115" i="4"/>
  <c r="L115" i="4"/>
  <c r="D116" i="4"/>
  <c r="E116" i="4"/>
  <c r="F116" i="4"/>
  <c r="G116" i="4"/>
  <c r="I116" i="4"/>
  <c r="J116" i="4"/>
  <c r="K116" i="4"/>
  <c r="L116" i="4"/>
  <c r="D117" i="4"/>
  <c r="E117" i="4"/>
  <c r="F117" i="4"/>
  <c r="G117" i="4"/>
  <c r="H117" i="4"/>
  <c r="J117" i="4"/>
  <c r="K117" i="4"/>
  <c r="L117" i="4"/>
  <c r="D118" i="4"/>
  <c r="E118" i="4"/>
  <c r="F118" i="4"/>
  <c r="G118" i="4"/>
  <c r="H118" i="4"/>
  <c r="I118" i="4"/>
  <c r="K118" i="4"/>
  <c r="L118" i="4"/>
  <c r="D119" i="4"/>
  <c r="E119" i="4"/>
  <c r="F119" i="4"/>
  <c r="G119" i="4"/>
  <c r="H119" i="4"/>
  <c r="I119" i="4"/>
  <c r="J119" i="4"/>
  <c r="L119" i="4"/>
  <c r="D120" i="4"/>
  <c r="E120" i="4"/>
  <c r="F120" i="4"/>
  <c r="G120" i="4"/>
  <c r="H120" i="4"/>
  <c r="I120" i="4"/>
  <c r="J120" i="4"/>
  <c r="K120" i="4"/>
  <c r="E127" i="4"/>
  <c r="F127" i="4"/>
  <c r="G127" i="4"/>
  <c r="H127" i="4"/>
  <c r="D128" i="4"/>
  <c r="F128" i="4"/>
  <c r="G128" i="4"/>
  <c r="H128" i="4"/>
  <c r="D129" i="4"/>
  <c r="E129" i="4"/>
  <c r="G129" i="4"/>
  <c r="H129" i="4"/>
  <c r="D130" i="4"/>
  <c r="E130" i="4"/>
  <c r="F130" i="4"/>
  <c r="H130" i="4"/>
  <c r="D131" i="4"/>
  <c r="E131" i="4"/>
  <c r="F131" i="4"/>
  <c r="G131" i="4"/>
  <c r="E136" i="4"/>
  <c r="D137" i="4"/>
  <c r="F137" i="4"/>
  <c r="F136" i="4" s="1"/>
  <c r="D138" i="4"/>
  <c r="E138" i="4"/>
  <c r="E143" i="4"/>
  <c r="F143" i="4"/>
  <c r="G143" i="4"/>
  <c r="H143" i="4"/>
  <c r="I143" i="4"/>
  <c r="J143" i="4"/>
  <c r="K143" i="4"/>
  <c r="L143" i="4"/>
  <c r="M143" i="4"/>
  <c r="D144" i="4"/>
  <c r="F144" i="4"/>
  <c r="G144" i="4"/>
  <c r="H144" i="4"/>
  <c r="I144" i="4"/>
  <c r="J144" i="4"/>
  <c r="K144" i="4"/>
  <c r="L144" i="4"/>
  <c r="M144" i="4"/>
  <c r="D145" i="4"/>
  <c r="E145" i="4"/>
  <c r="G145" i="4"/>
  <c r="H145" i="4"/>
  <c r="I145" i="4"/>
  <c r="J145" i="4"/>
  <c r="K145" i="4"/>
  <c r="L145" i="4"/>
  <c r="M145" i="4"/>
  <c r="D146" i="4"/>
  <c r="E146" i="4"/>
  <c r="F146" i="4"/>
  <c r="H146" i="4"/>
  <c r="I146" i="4"/>
  <c r="J146" i="4"/>
  <c r="K146" i="4"/>
  <c r="L146" i="4"/>
  <c r="M146" i="4"/>
  <c r="D147" i="4"/>
  <c r="E147" i="4"/>
  <c r="F147" i="4"/>
  <c r="G147" i="4"/>
  <c r="I147" i="4"/>
  <c r="J147" i="4"/>
  <c r="K147" i="4"/>
  <c r="L147" i="4"/>
  <c r="M147" i="4"/>
  <c r="D148" i="4"/>
  <c r="E148" i="4"/>
  <c r="F148" i="4"/>
  <c r="G148" i="4"/>
  <c r="H148" i="4"/>
  <c r="J148" i="4"/>
  <c r="K148" i="4"/>
  <c r="L148" i="4"/>
  <c r="M148" i="4"/>
  <c r="D149" i="4"/>
  <c r="E149" i="4"/>
  <c r="F149" i="4"/>
  <c r="G149" i="4"/>
  <c r="H149" i="4"/>
  <c r="I149" i="4"/>
  <c r="K149" i="4"/>
  <c r="L149" i="4"/>
  <c r="M149" i="4"/>
  <c r="D150" i="4"/>
  <c r="E150" i="4"/>
  <c r="F150" i="4"/>
  <c r="G150" i="4"/>
  <c r="H150" i="4"/>
  <c r="I150" i="4"/>
  <c r="J150" i="4"/>
  <c r="L150" i="4"/>
  <c r="M150" i="4"/>
  <c r="D151" i="4"/>
  <c r="E151" i="4"/>
  <c r="F151" i="4"/>
  <c r="G151" i="4"/>
  <c r="H151" i="4"/>
  <c r="I151" i="4"/>
  <c r="J151" i="4"/>
  <c r="K151" i="4"/>
  <c r="M151" i="4"/>
  <c r="D152" i="4"/>
  <c r="E152" i="4"/>
  <c r="F152" i="4"/>
  <c r="G152" i="4"/>
  <c r="H152" i="4"/>
  <c r="I152" i="4"/>
  <c r="J152" i="4"/>
  <c r="K152" i="4"/>
  <c r="L152" i="4"/>
  <c r="F157" i="4"/>
  <c r="G157" i="4"/>
  <c r="H157" i="4"/>
  <c r="I157" i="4"/>
  <c r="J157" i="4"/>
  <c r="K157" i="4"/>
  <c r="E158" i="4"/>
  <c r="G158" i="4"/>
  <c r="H158" i="4"/>
  <c r="I158" i="4"/>
  <c r="J158" i="4"/>
  <c r="K158" i="4"/>
  <c r="E159" i="4"/>
  <c r="F159" i="4"/>
  <c r="H159" i="4"/>
  <c r="I159" i="4"/>
  <c r="J159" i="4"/>
  <c r="K159" i="4"/>
  <c r="E160" i="4"/>
  <c r="F160" i="4"/>
  <c r="G160" i="4"/>
  <c r="I160" i="4"/>
  <c r="J160" i="4"/>
  <c r="K160" i="4"/>
  <c r="E161" i="4"/>
  <c r="F161" i="4"/>
  <c r="G161" i="4"/>
  <c r="H161" i="4"/>
  <c r="J161" i="4"/>
  <c r="K161" i="4"/>
  <c r="E162" i="4"/>
  <c r="F162" i="4"/>
  <c r="G162" i="4"/>
  <c r="H162" i="4"/>
  <c r="I162" i="4"/>
  <c r="K162" i="4"/>
  <c r="E163" i="4"/>
  <c r="F163" i="4"/>
  <c r="G163" i="4"/>
  <c r="H163" i="4"/>
  <c r="I163" i="4"/>
  <c r="J163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D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D170" i="4"/>
  <c r="E170" i="4"/>
  <c r="G170" i="4"/>
  <c r="H170" i="4"/>
  <c r="I170" i="4"/>
  <c r="J170" i="4"/>
  <c r="K170" i="4"/>
  <c r="L170" i="4"/>
  <c r="M170" i="4"/>
  <c r="N170" i="4"/>
  <c r="O170" i="4"/>
  <c r="P170" i="4"/>
  <c r="Q170" i="4"/>
  <c r="D171" i="4"/>
  <c r="E171" i="4"/>
  <c r="F171" i="4"/>
  <c r="H171" i="4"/>
  <c r="I171" i="4"/>
  <c r="J171" i="4"/>
  <c r="K171" i="4"/>
  <c r="L171" i="4"/>
  <c r="M171" i="4"/>
  <c r="N171" i="4"/>
  <c r="O171" i="4"/>
  <c r="P171" i="4"/>
  <c r="Q171" i="4"/>
  <c r="D172" i="4"/>
  <c r="E172" i="4"/>
  <c r="F172" i="4"/>
  <c r="G172" i="4"/>
  <c r="I172" i="4"/>
  <c r="J172" i="4"/>
  <c r="K172" i="4"/>
  <c r="L172" i="4"/>
  <c r="M172" i="4"/>
  <c r="N172" i="4"/>
  <c r="O172" i="4"/>
  <c r="P172" i="4"/>
  <c r="Q172" i="4"/>
  <c r="D173" i="4"/>
  <c r="E173" i="4"/>
  <c r="F173" i="4"/>
  <c r="G173" i="4"/>
  <c r="H173" i="4"/>
  <c r="J173" i="4"/>
  <c r="K173" i="4"/>
  <c r="L173" i="4"/>
  <c r="M173" i="4"/>
  <c r="N173" i="4"/>
  <c r="O173" i="4"/>
  <c r="P173" i="4"/>
  <c r="Q173" i="4"/>
  <c r="D174" i="4"/>
  <c r="E174" i="4"/>
  <c r="F174" i="4"/>
  <c r="G174" i="4"/>
  <c r="H174" i="4"/>
  <c r="I174" i="4"/>
  <c r="K174" i="4"/>
  <c r="L174" i="4"/>
  <c r="M174" i="4"/>
  <c r="N174" i="4"/>
  <c r="O174" i="4"/>
  <c r="P174" i="4"/>
  <c r="Q174" i="4"/>
  <c r="D175" i="4"/>
  <c r="E175" i="4"/>
  <c r="F175" i="4"/>
  <c r="G175" i="4"/>
  <c r="H175" i="4"/>
  <c r="I175" i="4"/>
  <c r="J175" i="4"/>
  <c r="L175" i="4"/>
  <c r="M175" i="4"/>
  <c r="N175" i="4"/>
  <c r="O175" i="4"/>
  <c r="P175" i="4"/>
  <c r="Q175" i="4"/>
  <c r="D176" i="4"/>
  <c r="E176" i="4"/>
  <c r="F176" i="4"/>
  <c r="G176" i="4"/>
  <c r="H176" i="4"/>
  <c r="I176" i="4"/>
  <c r="J176" i="4"/>
  <c r="K176" i="4"/>
  <c r="M176" i="4"/>
  <c r="N176" i="4"/>
  <c r="O176" i="4"/>
  <c r="P176" i="4"/>
  <c r="Q176" i="4"/>
  <c r="D177" i="4"/>
  <c r="E177" i="4"/>
  <c r="F177" i="4"/>
  <c r="G177" i="4"/>
  <c r="H177" i="4"/>
  <c r="I177" i="4"/>
  <c r="J177" i="4"/>
  <c r="K177" i="4"/>
  <c r="L177" i="4"/>
  <c r="N177" i="4"/>
  <c r="O177" i="4"/>
  <c r="P177" i="4"/>
  <c r="Q177" i="4"/>
  <c r="D178" i="4"/>
  <c r="E178" i="4"/>
  <c r="F178" i="4"/>
  <c r="G178" i="4"/>
  <c r="H178" i="4"/>
  <c r="I178" i="4"/>
  <c r="J178" i="4"/>
  <c r="K178" i="4"/>
  <c r="L178" i="4"/>
  <c r="M178" i="4"/>
  <c r="O178" i="4"/>
  <c r="P178" i="4"/>
  <c r="Q178" i="4"/>
  <c r="D179" i="4"/>
  <c r="E179" i="4"/>
  <c r="F179" i="4"/>
  <c r="G179" i="4"/>
  <c r="H179" i="4"/>
  <c r="I179" i="4"/>
  <c r="J179" i="4"/>
  <c r="K179" i="4"/>
  <c r="L179" i="4"/>
  <c r="M179" i="4"/>
  <c r="N179" i="4"/>
  <c r="P179" i="4"/>
  <c r="Q179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Q180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E187" i="4"/>
  <c r="F187" i="4"/>
  <c r="G187" i="4"/>
  <c r="H187" i="4"/>
  <c r="I187" i="4"/>
  <c r="J187" i="4"/>
  <c r="D188" i="4"/>
  <c r="F188" i="4"/>
  <c r="G188" i="4"/>
  <c r="H188" i="4"/>
  <c r="I188" i="4"/>
  <c r="J188" i="4"/>
  <c r="D189" i="4"/>
  <c r="E189" i="4"/>
  <c r="G189" i="4"/>
  <c r="H189" i="4"/>
  <c r="I189" i="4"/>
  <c r="J189" i="4"/>
  <c r="D190" i="4"/>
  <c r="E190" i="4"/>
  <c r="F190" i="4"/>
  <c r="H190" i="4"/>
  <c r="I190" i="4"/>
  <c r="J190" i="4"/>
  <c r="D191" i="4"/>
  <c r="E191" i="4"/>
  <c r="F191" i="4"/>
  <c r="G191" i="4"/>
  <c r="I191" i="4"/>
  <c r="J191" i="4"/>
  <c r="D192" i="4"/>
  <c r="E192" i="4"/>
  <c r="F192" i="4"/>
  <c r="G192" i="4"/>
  <c r="H192" i="4"/>
  <c r="J192" i="4"/>
  <c r="D193" i="4"/>
  <c r="E193" i="4"/>
  <c r="F193" i="4"/>
  <c r="G193" i="4"/>
  <c r="H193" i="4"/>
  <c r="I193" i="4"/>
  <c r="T54" i="9" l="1"/>
  <c r="K5" i="7" s="1"/>
  <c r="S15" i="9"/>
  <c r="N4" i="7" s="1"/>
  <c r="N6" i="7" s="1"/>
  <c r="S67" i="9"/>
  <c r="J4" i="7" s="1"/>
  <c r="J6" i="7" s="1"/>
  <c r="T28" i="9"/>
  <c r="M5" i="7" s="1"/>
  <c r="S41" i="9"/>
  <c r="L4" i="7" s="1"/>
  <c r="L6" i="7" s="1"/>
  <c r="M15" i="3"/>
  <c r="M43" i="3" s="1"/>
  <c r="L8" i="3"/>
  <c r="D8" i="3"/>
  <c r="I18" i="3"/>
  <c r="E18" i="3"/>
  <c r="K8" i="3"/>
  <c r="G8" i="3"/>
  <c r="C8" i="3"/>
  <c r="K15" i="3"/>
  <c r="G15" i="3"/>
  <c r="I15" i="3"/>
  <c r="E15" i="3"/>
  <c r="E43" i="3"/>
  <c r="N15" i="3"/>
  <c r="J15" i="3"/>
  <c r="F15" i="3"/>
  <c r="B15" i="3"/>
  <c r="C15" i="3"/>
  <c r="N8" i="3"/>
  <c r="J8" i="3"/>
  <c r="F8" i="3"/>
  <c r="B8" i="3"/>
  <c r="L15" i="3"/>
  <c r="L43" i="3" s="1"/>
  <c r="H15" i="3"/>
  <c r="H43" i="3" s="1"/>
  <c r="D15" i="3"/>
  <c r="D43" i="3" s="1"/>
  <c r="I43" i="3"/>
  <c r="S54" i="9"/>
  <c r="K4" i="7" s="1"/>
  <c r="K6" i="7" s="1"/>
  <c r="T41" i="9"/>
  <c r="L5" i="7" s="1"/>
  <c r="M8" i="3"/>
  <c r="I8" i="3"/>
  <c r="I20" i="3" s="1"/>
  <c r="E8" i="3"/>
  <c r="T67" i="9"/>
  <c r="J5" i="7" s="1"/>
  <c r="S28" i="9"/>
  <c r="M4" i="7" s="1"/>
  <c r="M6" i="7" s="1"/>
  <c r="T15" i="9"/>
  <c r="N5" i="7" s="1"/>
  <c r="C36" i="1"/>
  <c r="R4" i="1"/>
  <c r="R6" i="1" s="1"/>
  <c r="C16" i="1"/>
  <c r="P15" i="1"/>
  <c r="E20" i="3"/>
  <c r="E8" i="6" s="1"/>
  <c r="L5" i="6"/>
  <c r="L7" i="6" s="1"/>
  <c r="M18" i="3"/>
  <c r="M20" i="3" s="1"/>
  <c r="M8" i="6" s="1"/>
  <c r="K5" i="6"/>
  <c r="K7" i="6" s="1"/>
  <c r="O5" i="6"/>
  <c r="O7" i="6" s="1"/>
  <c r="J5" i="6"/>
  <c r="J7" i="6" s="1"/>
  <c r="F5" i="6"/>
  <c r="F7" i="6" s="1"/>
  <c r="G5" i="6"/>
  <c r="G7" i="6" s="1"/>
  <c r="C5" i="6"/>
  <c r="C7" i="6" s="1"/>
  <c r="H5" i="6"/>
  <c r="H7" i="6" s="1"/>
  <c r="D5" i="6"/>
  <c r="D7" i="6" s="1"/>
  <c r="I8" i="6"/>
  <c r="B5" i="6"/>
  <c r="N6" i="6"/>
  <c r="N4" i="6"/>
  <c r="K43" i="3"/>
  <c r="G43" i="3"/>
  <c r="C43" i="3"/>
  <c r="N19" i="1"/>
  <c r="N20" i="1" s="1"/>
  <c r="J19" i="1"/>
  <c r="J20" i="1" s="1"/>
  <c r="F19" i="1"/>
  <c r="F20" i="1" s="1"/>
  <c r="K18" i="3"/>
  <c r="K20" i="3" s="1"/>
  <c r="G18" i="3"/>
  <c r="G21" i="3" s="1"/>
  <c r="C18" i="3"/>
  <c r="C20" i="3" s="1"/>
  <c r="M3" i="6"/>
  <c r="M5" i="6" s="1"/>
  <c r="M7" i="6" s="1"/>
  <c r="I3" i="6"/>
  <c r="I5" i="6" s="1"/>
  <c r="I7" i="6" s="1"/>
  <c r="E3" i="6"/>
  <c r="E5" i="6" s="1"/>
  <c r="E7" i="6" s="1"/>
  <c r="K19" i="1"/>
  <c r="K20" i="1" s="1"/>
  <c r="G19" i="1"/>
  <c r="G20" i="1" s="1"/>
  <c r="C19" i="1"/>
  <c r="J18" i="3"/>
  <c r="J20" i="3" s="1"/>
  <c r="F18" i="3"/>
  <c r="F21" i="3" s="1"/>
  <c r="B18" i="3"/>
  <c r="B20" i="3" s="1"/>
  <c r="B8" i="6" s="1"/>
  <c r="N43" i="3"/>
  <c r="J43" i="3"/>
  <c r="F43" i="3"/>
  <c r="B43" i="3"/>
  <c r="L19" i="1"/>
  <c r="L20" i="1" s="1"/>
  <c r="H19" i="1"/>
  <c r="H20" i="1" s="1"/>
  <c r="D19" i="1"/>
  <c r="D20" i="1" s="1"/>
  <c r="N18" i="3"/>
  <c r="N20" i="3" s="1"/>
  <c r="M19" i="1"/>
  <c r="M20" i="1" s="1"/>
  <c r="I19" i="1"/>
  <c r="I20" i="1" s="1"/>
  <c r="E19" i="1"/>
  <c r="E20" i="1" s="1"/>
  <c r="L18" i="3"/>
  <c r="L21" i="3" s="1"/>
  <c r="H18" i="3"/>
  <c r="H21" i="3" s="1"/>
  <c r="D18" i="3"/>
  <c r="D21" i="3" s="1"/>
  <c r="I21" i="3" l="1"/>
  <c r="I9" i="6" s="1"/>
  <c r="E21" i="3"/>
  <c r="E9" i="6" s="1"/>
  <c r="M21" i="3"/>
  <c r="M9" i="6" s="1"/>
  <c r="R3" i="1"/>
  <c r="G20" i="3"/>
  <c r="J21" i="3"/>
  <c r="J24" i="3" s="1"/>
  <c r="K21" i="3"/>
  <c r="L24" i="3" s="1"/>
  <c r="H9" i="6"/>
  <c r="H24" i="3"/>
  <c r="I24" i="3"/>
  <c r="L9" i="6"/>
  <c r="M24" i="3"/>
  <c r="N23" i="3"/>
  <c r="O8" i="6"/>
  <c r="D9" i="6"/>
  <c r="E24" i="3"/>
  <c r="G9" i="6"/>
  <c r="G24" i="3"/>
  <c r="F24" i="3"/>
  <c r="F9" i="6"/>
  <c r="C23" i="3"/>
  <c r="C8" i="6"/>
  <c r="D20" i="3"/>
  <c r="N21" i="3"/>
  <c r="L20" i="3"/>
  <c r="K23" i="3"/>
  <c r="K8" i="6"/>
  <c r="J9" i="6"/>
  <c r="J8" i="6"/>
  <c r="J23" i="3"/>
  <c r="H20" i="3"/>
  <c r="G8" i="6"/>
  <c r="K9" i="6"/>
  <c r="K24" i="3"/>
  <c r="B7" i="6"/>
  <c r="N7" i="6" s="1"/>
  <c r="N5" i="6"/>
  <c r="C21" i="3"/>
  <c r="D24" i="3" s="1"/>
  <c r="F20" i="3"/>
  <c r="G23" i="3" s="1"/>
  <c r="C20" i="1"/>
  <c r="P18" i="1"/>
  <c r="P19" i="1" s="1"/>
  <c r="B21" i="3"/>
  <c r="B9" i="6" s="1"/>
  <c r="N3" i="6"/>
  <c r="L8" i="6" l="1"/>
  <c r="L23" i="3"/>
  <c r="M23" i="3"/>
  <c r="D8" i="6"/>
  <c r="D23" i="3"/>
  <c r="E23" i="3"/>
  <c r="C9" i="6"/>
  <c r="N9" i="6" s="1"/>
  <c r="C24" i="3"/>
  <c r="F8" i="6"/>
  <c r="F23" i="3"/>
  <c r="H8" i="6"/>
  <c r="H23" i="3"/>
  <c r="I23" i="3"/>
  <c r="O9" i="6"/>
  <c r="N24" i="3"/>
  <c r="N8" i="6" l="1"/>
  <c r="B23" i="3"/>
  <c r="B24" i="3"/>
</calcChain>
</file>

<file path=xl/comments1.xml><?xml version="1.0" encoding="utf-8"?>
<comments xmlns="http://schemas.openxmlformats.org/spreadsheetml/2006/main">
  <authors>
    <author>Bill Nale</author>
  </authors>
  <commentList>
    <comment ref="B20" authorId="0">
      <text>
        <r>
          <rPr>
            <sz val="10"/>
            <color indexed="81"/>
            <rFont val="Tahoma"/>
          </rPr>
          <t xml:space="preserve">1852m exact.  Standardized in 1959 as the average length of one minute of arc on a great circle of the earth.
</t>
        </r>
      </text>
    </comment>
    <comment ref="B26" authorId="0">
      <text>
        <r>
          <rPr>
            <sz val="10"/>
            <color indexed="81"/>
            <rFont val="Tahoma"/>
          </rPr>
          <t>1/8 mile
220 yards
660 feet
40 rods</t>
        </r>
      </text>
    </comment>
    <comment ref="B27" authorId="0">
      <text>
        <r>
          <rPr>
            <b/>
            <sz val="10"/>
            <color indexed="81"/>
            <rFont val="Tahoma"/>
          </rPr>
          <t>16.5 feet</t>
        </r>
      </text>
    </comment>
    <comment ref="B28" authorId="0">
      <text>
        <r>
          <rPr>
            <sz val="10"/>
            <color indexed="81"/>
            <rFont val="Tahoma"/>
          </rPr>
          <t>distance that light travels in one year
speed of light: exactly 299,792,458 m/s
1 yr = 365d, 5h, 48m, 46s in this definition.  Others use 365.25d</t>
        </r>
      </text>
    </comment>
    <comment ref="B38" authorId="0">
      <text>
        <r>
          <rPr>
            <sz val="10"/>
            <color indexed="81"/>
            <rFont val="Tahoma"/>
          </rPr>
          <t>Based on 'US Survey foot', which is accounted for by a factor of 0.999998 squared in the equations
640 acres per US Survey square mile
43560 US Survey sq feet</t>
        </r>
      </text>
    </comment>
    <comment ref="P38" authorId="0">
      <text>
        <r>
          <rPr>
            <sz val="10"/>
            <color indexed="81"/>
            <rFont val="Tahoma"/>
          </rPr>
          <t>640 acres per square mile
43560 sq feet</t>
        </r>
      </text>
    </comment>
    <comment ref="B44" authorId="0">
      <text>
        <r>
          <rPr>
            <sz val="10"/>
            <color indexed="81"/>
            <rFont val="Tahoma"/>
          </rPr>
          <t>10,000 sq meters</t>
        </r>
      </text>
    </comment>
    <comment ref="P44" authorId="0">
      <text>
        <r>
          <rPr>
            <sz val="10"/>
            <color indexed="81"/>
            <rFont val="Tahoma"/>
          </rPr>
          <t>10,000 sq meters</t>
        </r>
      </text>
    </comment>
    <comment ref="B54" authorId="0">
      <text>
        <r>
          <rPr>
            <sz val="10"/>
            <color indexed="81"/>
            <rFont val="Tahoma"/>
          </rPr>
          <t>3 teaspoons per tablespoon</t>
        </r>
      </text>
    </comment>
    <comment ref="B55" authorId="0">
      <text>
        <r>
          <rPr>
            <sz val="10"/>
            <color indexed="81"/>
            <rFont val="Tahoma"/>
          </rPr>
          <t>2 tablespoons per fluid ounce</t>
        </r>
      </text>
    </comment>
    <comment ref="B60" authorId="0">
      <text>
        <r>
          <rPr>
            <sz val="10"/>
            <color indexed="81"/>
            <rFont val="Tahoma"/>
          </rPr>
          <t>213 cubic inches (exact)</t>
        </r>
      </text>
    </comment>
    <comment ref="B61" authorId="0">
      <text>
        <r>
          <rPr>
            <sz val="10"/>
            <color indexed="81"/>
            <rFont val="Tahoma"/>
          </rPr>
          <t>42 gallons</t>
        </r>
      </text>
    </comment>
    <comment ref="B62" authorId="0">
      <text>
        <r>
          <rPr>
            <sz val="10"/>
            <color indexed="81"/>
            <rFont val="Tahoma"/>
          </rPr>
          <t>One foot of water over one acre of area.
Calculated as cubic feet / 43560 (sq feet per acre)</t>
        </r>
      </text>
    </comment>
    <comment ref="B76" authorId="0">
      <text>
        <r>
          <rPr>
            <sz val="10"/>
            <color indexed="81"/>
            <rFont val="Tahoma"/>
          </rPr>
          <t>1/4 bushel
8 quarts
2 gallons
Primarily a unit of pickeled peppers</t>
        </r>
      </text>
    </comment>
    <comment ref="B77" authorId="0">
      <text>
        <r>
          <rPr>
            <sz val="10"/>
            <color indexed="81"/>
            <rFont val="Tahoma"/>
          </rPr>
          <t>8 dry US Gallons
2150.42 cubic inches (exact)</t>
        </r>
      </text>
    </comment>
    <comment ref="B84" authorId="0">
      <text>
        <r>
          <rPr>
            <sz val="10"/>
            <color indexed="81"/>
            <rFont val="Tahoma"/>
          </rPr>
          <t xml:space="preserve">0.06479891 gram
7000 grains per pound
5760 grains per troy pound
</t>
        </r>
      </text>
    </comment>
    <comment ref="B85" authorId="0">
      <text>
        <r>
          <rPr>
            <sz val="10"/>
            <color indexed="81"/>
            <rFont val="Tahoma"/>
          </rPr>
          <t>28.349523125 grams</t>
        </r>
      </text>
    </comment>
    <comment ref="B88" authorId="0">
      <text>
        <r>
          <rPr>
            <sz val="10"/>
            <color indexed="81"/>
            <rFont val="Tahoma"/>
          </rPr>
          <t>31.1034768 grams
12 troy ounces per troy pound
480 grains per troy ounce</t>
        </r>
      </text>
    </comment>
    <comment ref="B100" authorId="0">
      <text>
        <r>
          <rPr>
            <sz val="10"/>
            <color indexed="81"/>
            <rFont val="Tahoma"/>
          </rPr>
          <t xml:space="preserve">550 foot lbs / sec, which is 745.69987158227022 watts
</t>
        </r>
      </text>
    </comment>
    <comment ref="J100" authorId="0">
      <text>
        <r>
          <rPr>
            <sz val="10"/>
            <color indexed="81"/>
            <rFont val="Tahoma"/>
          </rPr>
          <t xml:space="preserve">550 foot lbs / sec, which is 745.69987158227022 watts
</t>
        </r>
      </text>
    </comment>
    <comment ref="B101" authorId="0">
      <text>
        <r>
          <rPr>
            <sz val="10"/>
            <color indexed="81"/>
            <rFont val="Tahoma"/>
          </rPr>
          <t xml:space="preserve">746 watts, exactly.
</t>
        </r>
      </text>
    </comment>
    <comment ref="J101" authorId="0">
      <text>
        <r>
          <rPr>
            <sz val="10"/>
            <color indexed="81"/>
            <rFont val="Tahoma"/>
          </rPr>
          <t xml:space="preserve">746 watts, exactly.
</t>
        </r>
      </text>
    </comment>
    <comment ref="B102" authorId="0">
      <text>
        <r>
          <rPr>
            <sz val="10"/>
            <color indexed="81"/>
            <rFont val="Tahoma"/>
          </rPr>
          <t>BTU = 1055.05585262 joules</t>
        </r>
      </text>
    </comment>
    <comment ref="J102" authorId="0">
      <text>
        <r>
          <rPr>
            <sz val="10"/>
            <color indexed="81"/>
            <rFont val="Tahoma"/>
          </rPr>
          <t>BTU = 1055.05585262 joules</t>
        </r>
      </text>
    </comment>
    <comment ref="B103" authorId="0">
      <text>
        <r>
          <rPr>
            <sz val="10"/>
            <color indexed="81"/>
            <rFont val="Tahoma"/>
          </rPr>
          <t xml:space="preserve">1.3558179483314004 watts </t>
        </r>
      </text>
    </comment>
    <comment ref="J103" authorId="0">
      <text>
        <r>
          <rPr>
            <sz val="10"/>
            <color indexed="81"/>
            <rFont val="Tahoma"/>
          </rPr>
          <t xml:space="preserve">1.3558179483314004 watts </t>
        </r>
      </text>
    </comment>
    <comment ref="B112" authorId="0">
      <text>
        <r>
          <rPr>
            <sz val="10"/>
            <color indexed="81"/>
            <rFont val="Tahoma"/>
          </rPr>
          <t>1 dyne of mass moving through 1cm.
1 joule = 10,000,000 ergs</t>
        </r>
      </text>
    </comment>
    <comment ref="B116" authorId="0">
      <text>
        <r>
          <rPr>
            <sz val="10"/>
            <color indexed="81"/>
            <rFont val="Tahoma"/>
          </rPr>
          <t>BTU = 1055.05585262 joules (exact)
International Table value</t>
        </r>
      </text>
    </comment>
    <comment ref="B117" authorId="0">
      <text>
        <r>
          <rPr>
            <sz val="10"/>
            <color indexed="81"/>
            <rFont val="Tahoma"/>
          </rPr>
          <t>US version.  Used by natual gas industry
105,480,400 joules</t>
        </r>
      </text>
    </comment>
    <comment ref="B118" authorId="0">
      <text>
        <r>
          <rPr>
            <sz val="10"/>
            <color indexed="81"/>
            <rFont val="Tahoma"/>
          </rPr>
          <t xml:space="preserve">1.3558179483314004 joules
</t>
        </r>
      </text>
    </comment>
    <comment ref="B119" authorId="0">
      <text>
        <r>
          <rPr>
            <sz val="10"/>
            <color indexed="81"/>
            <rFont val="Tahoma"/>
          </rPr>
          <t>4.1868 Joule
International Table conversion</t>
        </r>
      </text>
    </comment>
    <comment ref="B128" authorId="0">
      <text>
        <r>
          <rPr>
            <sz val="10"/>
            <color indexed="81"/>
            <rFont val="Tahoma"/>
          </rPr>
          <t>4.4482216152605 newtons exactly</t>
        </r>
      </text>
    </comment>
    <comment ref="B129" authorId="0">
      <text>
        <r>
          <rPr>
            <sz val="10"/>
            <color indexed="81"/>
            <rFont val="Tahoma"/>
          </rPr>
          <t>10-5 newtons</t>
        </r>
      </text>
    </comment>
    <comment ref="B131" authorId="0">
      <text>
        <r>
          <rPr>
            <sz val="10"/>
            <color indexed="81"/>
            <rFont val="Tahoma"/>
          </rPr>
          <t>9.80665 newtons exactly</t>
        </r>
      </text>
    </comment>
    <comment ref="B136" authorId="0">
      <text>
        <r>
          <rPr>
            <b/>
            <sz val="10"/>
            <color indexed="81"/>
            <rFont val="Tahoma"/>
          </rPr>
          <t>Bill Nale:</t>
        </r>
        <r>
          <rPr>
            <sz val="10"/>
            <color indexed="81"/>
            <rFont val="Tahoma"/>
          </rPr>
          <t xml:space="preserve">
Degrees Celsuis + 273.16</t>
        </r>
      </text>
    </comment>
    <comment ref="B147" authorId="0">
      <text>
        <r>
          <rPr>
            <sz val="10"/>
            <color indexed="81"/>
            <rFont val="Tahoma"/>
          </rPr>
          <t>nautical mile per hour</t>
        </r>
      </text>
    </comment>
    <comment ref="B148" authorId="0">
      <text>
        <r>
          <rPr>
            <sz val="10"/>
            <color indexed="81"/>
            <rFont val="Tahoma"/>
          </rPr>
          <t>Miles per hour * 8 * 24 * 14
(furlongs per mile * hours/day) * days per fortnight)</t>
        </r>
      </text>
    </comment>
    <comment ref="B152" authorId="0">
      <text>
        <r>
          <rPr>
            <sz val="10"/>
            <color indexed="81"/>
            <rFont val="Tahoma"/>
          </rPr>
          <t>speed of light: exactly 299,792,458 m/s
The meter is officially defined by this number as of 1983</t>
        </r>
      </text>
    </comment>
    <comment ref="B163" authorId="0">
      <text>
        <r>
          <rPr>
            <sz val="10"/>
            <color indexed="81"/>
            <rFont val="Tahoma"/>
          </rPr>
          <t>9.80665 m/s/s exactly</t>
        </r>
      </text>
    </comment>
    <comment ref="L163" authorId="0">
      <text>
        <r>
          <rPr>
            <sz val="10"/>
            <color indexed="81"/>
            <rFont val="Tahoma"/>
          </rPr>
          <t>9.80665 m/s/s ecactly</t>
        </r>
      </text>
    </comment>
    <comment ref="B177" authorId="0">
      <text>
        <r>
          <rPr>
            <sz val="10"/>
            <color indexed="81"/>
            <rFont val="Tahoma"/>
          </rPr>
          <t>14 Days</t>
        </r>
      </text>
    </comment>
    <comment ref="P178" authorId="0">
      <text>
        <r>
          <rPr>
            <sz val="10"/>
            <color indexed="81"/>
            <rFont val="Tahoma"/>
          </rPr>
          <t>Kept at 12 months for each year type</t>
        </r>
      </text>
    </comment>
    <comment ref="Q178" authorId="0">
      <text>
        <r>
          <rPr>
            <sz val="10"/>
            <color indexed="81"/>
            <rFont val="Tahoma"/>
          </rPr>
          <t>Kept at 12 months for each year type</t>
        </r>
      </text>
    </comment>
    <comment ref="N180" authorId="0">
      <text>
        <r>
          <rPr>
            <sz val="10"/>
            <color indexed="81"/>
            <rFont val="Tahoma"/>
          </rPr>
          <t xml:space="preserve">Kept at 12 months for each year type
</t>
        </r>
      </text>
    </comment>
    <comment ref="B181" authorId="0">
      <text>
        <r>
          <rPr>
            <sz val="10"/>
            <color indexed="81"/>
            <rFont val="Tahoma"/>
          </rPr>
          <t>defined here as 365 days, 5 hours, 48 minutes, and 46 seconds</t>
        </r>
      </text>
    </comment>
    <comment ref="N181" authorId="0">
      <text>
        <r>
          <rPr>
            <sz val="10"/>
            <color indexed="81"/>
            <rFont val="Tahoma"/>
          </rPr>
          <t>Kept at 12 months for each year type</t>
        </r>
      </text>
    </comment>
  </commentList>
</comments>
</file>

<file path=xl/comments2.xml><?xml version="1.0" encoding="utf-8"?>
<comments xmlns="http://schemas.openxmlformats.org/spreadsheetml/2006/main">
  <authors>
    <author>mmenard</author>
  </authors>
  <commentList>
    <comment ref="A30" authorId="0">
      <text>
        <r>
          <rPr>
            <b/>
            <sz val="8"/>
            <color indexed="81"/>
            <rFont val="Tahoma"/>
          </rPr>
          <t>mmenard:</t>
        </r>
        <r>
          <rPr>
            <sz val="8"/>
            <color indexed="81"/>
            <rFont val="Tahoma"/>
          </rPr>
          <t xml:space="preserve">
Assumed average well production efficiency of 6
650 kWh/AF.</t>
        </r>
      </text>
    </comment>
    <comment ref="A36" authorId="0">
      <text>
        <r>
          <rPr>
            <b/>
            <sz val="8"/>
            <color indexed="81"/>
            <rFont val="Tahoma"/>
          </rPr>
          <t>mmenard:</t>
        </r>
        <r>
          <rPr>
            <sz val="8"/>
            <color indexed="81"/>
            <rFont val="Tahoma"/>
          </rPr>
          <t xml:space="preserve">
Assumed average well production efficiency of 250 kWh/AF.</t>
        </r>
      </text>
    </comment>
  </commentList>
</comments>
</file>

<file path=xl/comments3.xml><?xml version="1.0" encoding="utf-8"?>
<comments xmlns="http://schemas.openxmlformats.org/spreadsheetml/2006/main">
  <authors>
    <author>mmenard</author>
  </authors>
  <commentList>
    <comment ref="A6" authorId="0">
      <text>
        <r>
          <rPr>
            <b/>
            <sz val="8"/>
            <color indexed="81"/>
            <rFont val="Tahoma"/>
          </rPr>
          <t>mmenard:</t>
        </r>
        <r>
          <rPr>
            <sz val="8"/>
            <color indexed="81"/>
            <rFont val="Tahoma"/>
          </rPr>
          <t xml:space="preserve">
Assumed average well production efficiency of 350 kWh/AF.</t>
        </r>
      </text>
    </comment>
    <comment ref="A11" authorId="0">
      <text>
        <r>
          <rPr>
            <b/>
            <sz val="8"/>
            <color indexed="81"/>
            <rFont val="Tahoma"/>
          </rPr>
          <t>mmenard:</t>
        </r>
        <r>
          <rPr>
            <sz val="8"/>
            <color indexed="81"/>
            <rFont val="Tahoma"/>
          </rPr>
          <t xml:space="preserve">
Assumed average well production efficiency of 250 kWh/AF.</t>
        </r>
      </text>
    </comment>
  </commentList>
</comments>
</file>

<file path=xl/sharedStrings.xml><?xml version="1.0" encoding="utf-8"?>
<sst xmlns="http://schemas.openxmlformats.org/spreadsheetml/2006/main" count="738" uniqueCount="434">
  <si>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</si>
  <si>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</si>
  <si>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</si>
  <si>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</si>
  <si>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</si>
  <si>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</si>
  <si>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</si>
  <si>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</si>
  <si>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</si>
  <si>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</si>
  <si>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</si>
  <si>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</si>
  <si>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</si>
  <si>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Jan-Jun</t>
  </si>
  <si>
    <t>Jul-Dec</t>
  </si>
  <si>
    <t>Bill's Conversion Spreadsheet</t>
  </si>
  <si>
    <t>Revision 1.10, 3/22/05</t>
  </si>
  <si>
    <t>Enter a number in the yellow box which is in the same row as the unit which you want to convert from.  The conversion to all other units appears in that column.</t>
  </si>
  <si>
    <t>Each cell converts directly from the yellow cell in that column, without the use of intermediate cell values.  This makes it easy to copy a formula from the spreadsheet for use elsewhere.</t>
  </si>
  <si>
    <t>The formula in each cell is written in a format to provide clarity of how the conversion is done. I.E. converting inches to miles is done as *12*5280 rather than *63360.</t>
  </si>
  <si>
    <t>Calculations are as exact as could be found.  Exactness is noted in each case.  Excel stores and calculates with 15 significant digits of precision.</t>
  </si>
  <si>
    <t>A red triangle in the upper right of a cell indicates that it contains a comment.</t>
  </si>
  <si>
    <t>Send corrections, suggestion, etc. to webservant@elivermore.com</t>
  </si>
  <si>
    <t>Jump to conversion:</t>
  </si>
  <si>
    <t>Length</t>
  </si>
  <si>
    <t>from
mils</t>
  </si>
  <si>
    <t>from
inches</t>
  </si>
  <si>
    <t>from
feet</t>
  </si>
  <si>
    <t>from
yards</t>
  </si>
  <si>
    <t>from
miles</t>
  </si>
  <si>
    <t>from
 nautical miles</t>
  </si>
  <si>
    <t>from
microns</t>
  </si>
  <si>
    <t>from
millimeters</t>
  </si>
  <si>
    <t>from centimeters</t>
  </si>
  <si>
    <t>from
meters</t>
  </si>
  <si>
    <t>from
kilometers</t>
  </si>
  <si>
    <t>from
Furlong</t>
  </si>
  <si>
    <t>from
rods</t>
  </si>
  <si>
    <t>from
light years</t>
  </si>
  <si>
    <t>English</t>
  </si>
  <si>
    <t>mils</t>
  </si>
  <si>
    <t>inches</t>
  </si>
  <si>
    <t>feet</t>
  </si>
  <si>
    <t>yards</t>
  </si>
  <si>
    <t>Miles</t>
  </si>
  <si>
    <t>nautical miles</t>
  </si>
  <si>
    <t>Metric</t>
  </si>
  <si>
    <t>Microns (um)</t>
  </si>
  <si>
    <t>millimeters (mm)</t>
  </si>
  <si>
    <t>Centimeters (cm)</t>
  </si>
  <si>
    <t>meters</t>
  </si>
  <si>
    <t>Kilometers (km)</t>
  </si>
  <si>
    <t>Furlong</t>
  </si>
  <si>
    <t>rods</t>
  </si>
  <si>
    <t>light years</t>
  </si>
  <si>
    <t>Note:  Light years uses speed of light as 299,792,458 m/s and 1 yr = 365d, 5h, 48m, 46s.</t>
  </si>
  <si>
    <t>All conversions are exact, with the stated definitions.</t>
  </si>
  <si>
    <t>Area</t>
  </si>
  <si>
    <t>from
Sq Mils</t>
  </si>
  <si>
    <t>from
Sq Inches</t>
  </si>
  <si>
    <t>from
Sq Feet</t>
  </si>
  <si>
    <t>from
Sq Yards</t>
  </si>
  <si>
    <t>from
Sq Miles</t>
  </si>
  <si>
    <t>from
Acres</t>
  </si>
  <si>
    <t>from
Sq Microns</t>
  </si>
  <si>
    <t>from
Sq mm</t>
  </si>
  <si>
    <t>from
Sq cm</t>
  </si>
  <si>
    <t>from
Sq meters</t>
  </si>
  <si>
    <t>from
Sq Kilometers</t>
  </si>
  <si>
    <t>from
Hectares</t>
  </si>
  <si>
    <t>Sq Mils</t>
  </si>
  <si>
    <t>Sq Inches (sq in)</t>
  </si>
  <si>
    <t>Sq Inches</t>
  </si>
  <si>
    <t>Sq Feet</t>
  </si>
  <si>
    <t>Sq Yards</t>
  </si>
  <si>
    <t>Sq Miles</t>
  </si>
  <si>
    <t>Acre</t>
  </si>
  <si>
    <t>Sq Microns</t>
  </si>
  <si>
    <t>Sq millimeters</t>
  </si>
  <si>
    <t>Sq Centimeters</t>
  </si>
  <si>
    <t>Sq Meters</t>
  </si>
  <si>
    <t>Sq Kilometers</t>
  </si>
  <si>
    <t>Hectares</t>
  </si>
  <si>
    <t>Note: all conversions are exact.</t>
  </si>
  <si>
    <t>All units except the acre are in international units in which 1 inch = 25.4mm exactly.  This has been the official definition since 1959.</t>
  </si>
  <si>
    <t>The official definition of the acre is still based on the 'US Survey foot', which was defined as 1200/3937 meters (making the inch 25.4000508..mm).  The difference is only a factor of 0.999998 linearly, or 2 parts per million.</t>
  </si>
  <si>
    <t>The calculations here convert between the acre and international units.  To convert acre to and from the old 'US Survey' areas, remove the (0.999998)^2 factor</t>
  </si>
  <si>
    <t>Volume</t>
  </si>
  <si>
    <t>from
cu Inches</t>
  </si>
  <si>
    <t>from
cu Feet</t>
  </si>
  <si>
    <t>from
cu Yards</t>
  </si>
  <si>
    <t>from
teaspoons</t>
  </si>
  <si>
    <t>from
tablespoons</t>
  </si>
  <si>
    <t>from
Fluid Ounces</t>
  </si>
  <si>
    <t>from
cups</t>
  </si>
  <si>
    <t>from
pints</t>
  </si>
  <si>
    <t>from
quarts</t>
  </si>
  <si>
    <t>from
gallons</t>
  </si>
  <si>
    <t>from
barrels</t>
  </si>
  <si>
    <t>from
acre feet</t>
  </si>
  <si>
    <t>from
cubic mm</t>
  </si>
  <si>
    <t>from
cubic cc</t>
  </si>
  <si>
    <t>from
cubic meters</t>
  </si>
  <si>
    <t>from
mililiters</t>
  </si>
  <si>
    <t>from
liters</t>
  </si>
  <si>
    <t>Cubic Inches (ci)</t>
  </si>
  <si>
    <t>Cubic Inches</t>
  </si>
  <si>
    <t>Cubic Feet</t>
  </si>
  <si>
    <t>Cubic Yards</t>
  </si>
  <si>
    <t>English Fluid</t>
  </si>
  <si>
    <t>teaspoon (tsp)</t>
  </si>
  <si>
    <t>teaspoon</t>
  </si>
  <si>
    <t>tablespoon (tbsp)</t>
  </si>
  <si>
    <t>tablespoon</t>
  </si>
  <si>
    <t>Fluid Ounce</t>
  </si>
  <si>
    <t>cup</t>
  </si>
  <si>
    <t>pint (liquid)</t>
  </si>
  <si>
    <t>pint</t>
  </si>
  <si>
    <t>quart (liquid)</t>
  </si>
  <si>
    <t>quart</t>
  </si>
  <si>
    <t>gallon</t>
  </si>
  <si>
    <t>Barrel</t>
  </si>
  <si>
    <t>acre feet</t>
  </si>
  <si>
    <t>cubic millimeters</t>
  </si>
  <si>
    <t>cubic centimeters (cc)</t>
  </si>
  <si>
    <t>cubic meters</t>
  </si>
  <si>
    <t>milliliters (ml)</t>
  </si>
  <si>
    <t>liters</t>
  </si>
  <si>
    <t>Note: all conversion into and out of the English Fluid section use 231 cubic inches per gallon as the basis.  This is exact.</t>
  </si>
  <si>
    <t>All conversions are exact.</t>
  </si>
  <si>
    <t>All units except Acre-Feet are in international units, in which 1 inch = 25.4mm exactly.  See notes on "Area" above.</t>
  </si>
  <si>
    <t>For Acre-Feet, the definition is based on the "US Survey foot', which is accounted for by the (0.999998)^3 factor in the equations involving Acre-Feet.</t>
  </si>
  <si>
    <t>Dry Volume</t>
  </si>
  <si>
    <t>from
pint (dry)</t>
  </si>
  <si>
    <t>from
quart (dry)</t>
  </si>
  <si>
    <t>from
peck</t>
  </si>
  <si>
    <t>from
bushel</t>
  </si>
  <si>
    <t>from
liter</t>
  </si>
  <si>
    <t>pint (dry)</t>
  </si>
  <si>
    <t>quart (dry)</t>
  </si>
  <si>
    <t>peck</t>
  </si>
  <si>
    <t>bushel</t>
  </si>
  <si>
    <t>liter</t>
  </si>
  <si>
    <t>Conversions are exact</t>
  </si>
  <si>
    <t>In the English system dry unit is 1.163647… times larger than the equivalent liquid unit</t>
  </si>
  <si>
    <t>Mass</t>
  </si>
  <si>
    <t>from
grain</t>
  </si>
  <si>
    <t>from
Ounce</t>
  </si>
  <si>
    <t>from
Pound</t>
  </si>
  <si>
    <t>from
ton</t>
  </si>
  <si>
    <t>from
troy ounce</t>
  </si>
  <si>
    <t>from
troy pound</t>
  </si>
  <si>
    <t>from
milligram</t>
  </si>
  <si>
    <t>from
gram</t>
  </si>
  <si>
    <t>from
kilogram</t>
  </si>
  <si>
    <t>from
metric ton</t>
  </si>
  <si>
    <t>Grain</t>
  </si>
  <si>
    <t>Ounce (av)</t>
  </si>
  <si>
    <t>Pound (av)</t>
  </si>
  <si>
    <t>Ton</t>
  </si>
  <si>
    <t>Troy</t>
  </si>
  <si>
    <t>Troy Ounce</t>
  </si>
  <si>
    <t>Troy Pound</t>
  </si>
  <si>
    <t>milligram</t>
  </si>
  <si>
    <t>gram</t>
  </si>
  <si>
    <t>kilogram</t>
  </si>
  <si>
    <t>Metric ton</t>
  </si>
  <si>
    <t>Conversions between metric and English units are accurate to about 10 significant digits.</t>
  </si>
  <si>
    <t>av = avoirdupois</t>
  </si>
  <si>
    <t>Power</t>
  </si>
  <si>
    <t>from
watts</t>
  </si>
  <si>
    <t>from
kilowatts</t>
  </si>
  <si>
    <t>from
HP (550ft-lb)</t>
  </si>
  <si>
    <t>from
HP (elec)</t>
  </si>
  <si>
    <t>from
BTU/hr</t>
  </si>
  <si>
    <t>from
ft-lb/sec</t>
  </si>
  <si>
    <t>watt</t>
  </si>
  <si>
    <t>kilowatt (KW)</t>
  </si>
  <si>
    <t>Horsepower (550 ft-lb)</t>
  </si>
  <si>
    <t>Horsepower (electric)</t>
  </si>
  <si>
    <t>BTUs per hour</t>
  </si>
  <si>
    <t>foot-pounds per second</t>
  </si>
  <si>
    <t>Horsepower has several definitions.  The 550 ft-lb and electric are the most common, and are very close numerically.  Both are provided here.</t>
  </si>
  <si>
    <t>Conversions within watt, kilowatt, and Horsepower (electric) and BTUs per hour are exact.  Between Horsepower (550 ft-lb) &amp; Foot-lb per sec are also exact</t>
  </si>
  <si>
    <t>Conversions between two sets of units lsted above are good to 15 or more significant digits.</t>
  </si>
  <si>
    <t>newton-meters per second is the same numerically as watts</t>
  </si>
  <si>
    <t>Energy</t>
  </si>
  <si>
    <t>from
erg</t>
  </si>
  <si>
    <t>from
joule</t>
  </si>
  <si>
    <t>from
watt-hour</t>
  </si>
  <si>
    <t>from
KWH</t>
  </si>
  <si>
    <t>from
BTU</t>
  </si>
  <si>
    <t>from
therms</t>
  </si>
  <si>
    <t>from
foot-pounds</t>
  </si>
  <si>
    <t>from
calorie (heat)</t>
  </si>
  <si>
    <t>from
calorie (food)</t>
  </si>
  <si>
    <t>erg</t>
  </si>
  <si>
    <t>joule (watt second)</t>
  </si>
  <si>
    <t>watt hour</t>
  </si>
  <si>
    <t>kilowatt hour (KWH)</t>
  </si>
  <si>
    <t>BTU</t>
  </si>
  <si>
    <t>therm (US)</t>
  </si>
  <si>
    <t>foot-pounds</t>
  </si>
  <si>
    <t>calorie (heat)</t>
  </si>
  <si>
    <t>calorie (food)</t>
  </si>
  <si>
    <t>International Table units are used in all cases.  Thermochemical units are slighly different by about 0.067%)</t>
  </si>
  <si>
    <t>All conversions are exact, with the possible exception of conversions between foot-pounds and other units, which is accurate to at least 15 significant digits.</t>
  </si>
  <si>
    <t>Newton-Meters is the same numerically as joules</t>
  </si>
  <si>
    <t>Force</t>
  </si>
  <si>
    <t>from
ounce</t>
  </si>
  <si>
    <t>from
pound</t>
  </si>
  <si>
    <t>from
dyne</t>
  </si>
  <si>
    <t>from
newton</t>
  </si>
  <si>
    <t>ounce-force</t>
  </si>
  <si>
    <t>pound-force</t>
  </si>
  <si>
    <t>dyne</t>
  </si>
  <si>
    <t>newton</t>
  </si>
  <si>
    <t>kilogram-force</t>
  </si>
  <si>
    <t>All conversions are exact</t>
  </si>
  <si>
    <t>Temperature</t>
  </si>
  <si>
    <t>from
Kelvin</t>
  </si>
  <si>
    <t>from
Celsius</t>
  </si>
  <si>
    <t>from
Fahrenheit</t>
  </si>
  <si>
    <t>Degrees Kelvin</t>
  </si>
  <si>
    <t>Degrees Celsius</t>
  </si>
  <si>
    <t>Degrees Fahrenheit</t>
  </si>
  <si>
    <t>Velocity</t>
  </si>
  <si>
    <t>from
ips</t>
  </si>
  <si>
    <t>from
fps</t>
  </si>
  <si>
    <t>from
miles/sec</t>
  </si>
  <si>
    <t>from
mph</t>
  </si>
  <si>
    <t>from
knots</t>
  </si>
  <si>
    <t>from
ful/fort</t>
  </si>
  <si>
    <t>from
m/s</t>
  </si>
  <si>
    <t>from
Km/s</t>
  </si>
  <si>
    <t>from
Km/h</t>
  </si>
  <si>
    <t>from
c</t>
  </si>
  <si>
    <t>inches per second (ips)</t>
  </si>
  <si>
    <t>feet per second (fps)</t>
  </si>
  <si>
    <t>feet per second</t>
  </si>
  <si>
    <t>miles per second</t>
  </si>
  <si>
    <t>miles per hour (mph)</t>
  </si>
  <si>
    <t>knot</t>
  </si>
  <si>
    <t>Furlongs per fortnight</t>
  </si>
  <si>
    <t>meters per second</t>
  </si>
  <si>
    <t>kilometers per second</t>
  </si>
  <si>
    <t>kilometers per hour</t>
  </si>
  <si>
    <t>c (speed of light)</t>
  </si>
  <si>
    <t>Acceleration</t>
  </si>
  <si>
    <t>from
i/s/s</t>
  </si>
  <si>
    <t>from
f/s/s</t>
  </si>
  <si>
    <t>from
mph/s</t>
  </si>
  <si>
    <t>from
m/s/s</t>
  </si>
  <si>
    <t>from
Km/s/s</t>
  </si>
  <si>
    <t>from
Km/h/s</t>
  </si>
  <si>
    <t>from
G</t>
  </si>
  <si>
    <t>Engilsh</t>
  </si>
  <si>
    <t>inches per second per second</t>
  </si>
  <si>
    <t>feet per second per second</t>
  </si>
  <si>
    <t>miles per hour per second</t>
  </si>
  <si>
    <t>meters per second per second</t>
  </si>
  <si>
    <t>kilometers per second per second</t>
  </si>
  <si>
    <t>kilometers per hour per second</t>
  </si>
  <si>
    <t>G (gravitational pull)</t>
  </si>
  <si>
    <t>Time</t>
  </si>
  <si>
    <t>from
ps</t>
  </si>
  <si>
    <t>from
ns</t>
  </si>
  <si>
    <t>from
microsecond</t>
  </si>
  <si>
    <t>from
ms</t>
  </si>
  <si>
    <t>from
seconds</t>
  </si>
  <si>
    <t>from
minutes</t>
  </si>
  <si>
    <t>from
hours</t>
  </si>
  <si>
    <t>from
days</t>
  </si>
  <si>
    <t>from
weeks</t>
  </si>
  <si>
    <t>from
fortnights</t>
  </si>
  <si>
    <t>from
months</t>
  </si>
  <si>
    <t>from
years (365)</t>
  </si>
  <si>
    <t>from
leap years</t>
  </si>
  <si>
    <t>from
year (mean)</t>
  </si>
  <si>
    <t>picosecond (ps)</t>
  </si>
  <si>
    <t>nanosecond (ns)</t>
  </si>
  <si>
    <t>microsecond (us)</t>
  </si>
  <si>
    <t>millisecond (ms)</t>
  </si>
  <si>
    <t>seconds</t>
  </si>
  <si>
    <t>minutes</t>
  </si>
  <si>
    <t>hours</t>
  </si>
  <si>
    <t>days</t>
  </si>
  <si>
    <t>weeks</t>
  </si>
  <si>
    <t>Fortnight</t>
  </si>
  <si>
    <t>months (1/12th yr (365 day, except for last 2)</t>
  </si>
  <si>
    <t>Months</t>
  </si>
  <si>
    <t>year (365 day)</t>
  </si>
  <si>
    <t>year (leap)</t>
  </si>
  <si>
    <t>year (mean)</t>
  </si>
  <si>
    <t>Note: year (mean) defined here as: defined here as 365 days, 5 hours, 48 minutes, and 46 seconds</t>
  </si>
  <si>
    <t>All conversions are exact, with the stated definitions</t>
  </si>
  <si>
    <t>Month to year conversion is defined as exactly 12, for all 3 year types.</t>
  </si>
  <si>
    <t>Data</t>
  </si>
  <si>
    <t>from
bits</t>
  </si>
  <si>
    <t>from
nibbles</t>
  </si>
  <si>
    <t>from
bytes</t>
  </si>
  <si>
    <t>from
kilobytes</t>
  </si>
  <si>
    <t>from
megabytes</t>
  </si>
  <si>
    <t>from
gigabytes</t>
  </si>
  <si>
    <t>from
terabytes</t>
  </si>
  <si>
    <t>bit (b)</t>
  </si>
  <si>
    <t>nibble</t>
  </si>
  <si>
    <t>byte (B)</t>
  </si>
  <si>
    <t>kilobyte (KB)</t>
  </si>
  <si>
    <t>megabyte (MB)</t>
  </si>
  <si>
    <t>gigabyte (GB)</t>
  </si>
  <si>
    <t>terabyte (TB)</t>
  </si>
  <si>
    <t>Note:</t>
  </si>
  <si>
    <t xml:space="preserve">  System memory and flash memory are generally manufactured in power of 2 data quantities, and confrom to the numbers above.</t>
  </si>
  <si>
    <t xml:space="preserve">  Disk drives are not manufactured in power of 2 data quantities, and are generally measured in base 10, where a megabyte=1,000,000 bytes, and a gigabyte=1,000,000,000 bytes as this allows the marketing department to quote slightly higher numbers.</t>
  </si>
  <si>
    <t>Updates</t>
  </si>
  <si>
    <t>Fixed hyperlinks at the top.  The filename and sheet name were changed prior to publushing which broke the links.</t>
  </si>
  <si>
    <t xml:space="preserve">Fixed definition of Nautical Mile.  It is exactly 1852 meters, not 6076 feet.  Fixed all formulas converting to and from. </t>
  </si>
  <si>
    <t>Fixed typo in the light year formulas.  The 48 minutes was multiplied by 600 instead of 60.  This was copied to all formulas to and from.  All have been fixed.</t>
  </si>
  <si>
    <t>Added Cubic Inches to the Dry Volume table, and changes the liter conversion factors to be based on the cubic inch conversions.  All are now exact.</t>
  </si>
  <si>
    <t>Changed comment on the Volume to indicate that the 231ci per gallon is exact.  Was listed as approximate previously.</t>
  </si>
  <si>
    <t>Changed the some of the pound/kilogram conversions from an ounce conversion to a pound conversion.  End result is exactly the same.</t>
  </si>
  <si>
    <r>
      <t>Protection is enabled</t>
    </r>
    <r>
      <rPr>
        <sz val="12"/>
        <rFont val="Arial"/>
        <family val="2"/>
      </rPr>
      <t xml:space="preserve"> preventing modification of the cells other than the yellow input cells.  This is done to prevent accidental changes.  </t>
    </r>
  </si>
  <si>
    <r>
      <t xml:space="preserve">   It can be disabled </t>
    </r>
    <r>
      <rPr>
        <sz val="12"/>
        <rFont val="Arial"/>
        <family val="2"/>
      </rPr>
      <t>by selecting Tools - Protection.  There is no password.</t>
    </r>
  </si>
  <si>
    <t>Whale Rock Operations</t>
  </si>
  <si>
    <t>Whale Rock Power</t>
  </si>
  <si>
    <t>Cal Poly Agricultural Water from Whale Rock Reservoir (acre feet)</t>
  </si>
  <si>
    <t>Cal Poly Domestic Water Use (acre feet): From WR Reports</t>
  </si>
  <si>
    <t>Cal Poly Domestic Water Use (acre feet): From billings (Black Binders)</t>
  </si>
  <si>
    <t>Cal Poly Agricultural Water Use (acre feet)</t>
  </si>
  <si>
    <t>(AF)</t>
  </si>
  <si>
    <t>Domestic</t>
  </si>
  <si>
    <t>Domestic ($/hcf)</t>
  </si>
  <si>
    <t>Whale Rock Total Cost</t>
  </si>
  <si>
    <t>Agricultural ($/hcf)</t>
  </si>
  <si>
    <t>place holder</t>
  </si>
  <si>
    <t>Net Cost from City</t>
  </si>
  <si>
    <t>Annual Inflation</t>
  </si>
  <si>
    <t>Average</t>
  </si>
  <si>
    <t>conversion: hcf to AF</t>
  </si>
  <si>
    <t>Whale Rock Reservoir Storage</t>
  </si>
  <si>
    <t>CP share:</t>
  </si>
  <si>
    <t>Minimum Pool:</t>
  </si>
  <si>
    <t>Available (AF)</t>
  </si>
  <si>
    <t>Total (AF)</t>
  </si>
  <si>
    <t>Year</t>
  </si>
  <si>
    <t>hcf/cubic meters</t>
  </si>
  <si>
    <t>Available (water rights)</t>
  </si>
  <si>
    <t>% of Available used</t>
  </si>
  <si>
    <t>Agricultural Use-SLO City</t>
  </si>
  <si>
    <t>All volumetric units in cubic meters</t>
  </si>
  <si>
    <t>Domestic Use-SLO City</t>
  </si>
  <si>
    <t>Acre-Feet/cubic meters</t>
  </si>
  <si>
    <t>Net Cost, City Agricultural ($/m3)</t>
  </si>
  <si>
    <t>Total Use from City</t>
  </si>
  <si>
    <t>Domestic City Water Use (hcf)</t>
  </si>
  <si>
    <t>Annual Average</t>
  </si>
  <si>
    <t>Annual Average Total from City</t>
  </si>
  <si>
    <t>Acre Feet</t>
  </si>
  <si>
    <t>Average Daily Use</t>
  </si>
  <si>
    <r>
      <t>10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gal/day</t>
    </r>
  </si>
  <si>
    <t>Walter's Well</t>
  </si>
  <si>
    <t>Penn. Cr. 127H</t>
  </si>
  <si>
    <t>S. Well Pump</t>
  </si>
  <si>
    <t>Orchard</t>
  </si>
  <si>
    <t>Parker Ranch</t>
  </si>
  <si>
    <t>N. Well Pump</t>
  </si>
  <si>
    <t>1920865005</t>
  </si>
  <si>
    <t>2192601170</t>
  </si>
  <si>
    <t>2629198005</t>
  </si>
  <si>
    <t>4917574005</t>
  </si>
  <si>
    <t>6469946005</t>
  </si>
  <si>
    <t>6931214005</t>
  </si>
  <si>
    <t>Read Date</t>
  </si>
  <si>
    <t>KWH</t>
  </si>
  <si>
    <t>2009 (first half)</t>
  </si>
  <si>
    <t>2008 total</t>
  </si>
  <si>
    <t>2007 total</t>
  </si>
  <si>
    <t>2006 total</t>
  </si>
  <si>
    <t>2005 total</t>
  </si>
  <si>
    <t>2009 (Jan-Jun)</t>
  </si>
  <si>
    <t>Stenner Pump</t>
  </si>
  <si>
    <t>CALIFORNIA POLYTECHNIC STATE UNIVERSITY</t>
  </si>
  <si>
    <t xml:space="preserve">HWY 1 &amp; TOMASINI RD  </t>
  </si>
  <si>
    <t xml:space="preserve">SAN LUIS OBISPO ,CA  93401    </t>
  </si>
  <si>
    <t>Elect Cost</t>
  </si>
  <si>
    <t>Usage (kWh)</t>
  </si>
  <si>
    <t>Cost ($)</t>
  </si>
  <si>
    <t xml:space="preserve">Total </t>
  </si>
  <si>
    <t>Ag Well Pumps (6)</t>
  </si>
  <si>
    <t>Volume (AF)</t>
  </si>
  <si>
    <r>
      <t>Net Cost, City Domestic ($/m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</si>
  <si>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Cost (metered accounts) from SLO City</t>
  </si>
  <si>
    <t>Agricultural City Water Use (hcf)</t>
  </si>
  <si>
    <t>Total City Use (hcf)</t>
  </si>
  <si>
    <t>($/hcf)</t>
  </si>
  <si>
    <t>Agricultural City Water</t>
  </si>
  <si>
    <t>Volume (hcf)</t>
  </si>
  <si>
    <t>Ag Well Pumps (hcf)</t>
  </si>
  <si>
    <t>Cal Poly Total Water Use (hcf)</t>
  </si>
  <si>
    <t>m3/AF</t>
  </si>
  <si>
    <t>Total Cost ($)</t>
  </si>
  <si>
    <t>Cal Poly's Share (33.71%)</t>
  </si>
  <si>
    <t>This graph shows the Cal Poly Water Consumption in hcf per year from 1997 to 2009</t>
  </si>
  <si>
    <t>Ag Well Pumps</t>
  </si>
  <si>
    <t>This graph shows Cal Poly's share measured in AF in the Whale Rock Reservoir Storage per fiscal year from 1996 to 2009</t>
  </si>
  <si>
    <t>SI Units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</si>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</sst>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.00"/>
    <numFmt numFmtId="165" formatCode="#"/>
    <numFmt numFmtId="166" formatCode="mmmm\ d\,\ yyyy"/>
    <numFmt numFmtId="167" formatCode="&quot;$&quot;#,##0"/>
    <numFmt numFmtId="168" formatCode="&quot;$&quot;#,##0.00"/>
    <numFmt numFmtId="169" formatCode="0.0"/>
    <numFmt numFmtId="170" formatCode="0.00000000"/>
    <numFmt numFmtId="171" formatCode="m/d/yy"/>
  </numFmts>
  <fonts count="28" x14ac:knownFonts="1">
    <font>
      <sz val="12"/>
      <name val="Courier"/>
    </font>
    <font>
      <sz val="10"/>
      <name val="Arial"/>
    </font>
    <font>
      <sz val="12"/>
      <color indexed="8"/>
      <name val="Courier"/>
    </font>
    <font>
      <b/>
      <sz val="18"/>
      <color indexed="8"/>
      <name val="Courier"/>
    </font>
    <font>
      <b/>
      <sz val="12"/>
      <color indexed="8"/>
      <name val="Courier"/>
    </font>
    <font>
      <sz val="12"/>
      <name val="Arial"/>
      <family val="2"/>
    </font>
    <font>
      <b/>
      <sz val="12"/>
      <name val="Arial"/>
      <family val="2"/>
    </font>
    <font>
      <sz val="8"/>
      <name val="Courier"/>
    </font>
    <font>
      <u/>
      <sz val="10"/>
      <color indexed="12"/>
      <name val="Arial"/>
    </font>
    <font>
      <b/>
      <u/>
      <sz val="12"/>
      <color indexed="12"/>
      <name val="Arial"/>
      <family val="2"/>
    </font>
    <font>
      <sz val="10"/>
      <color indexed="81"/>
      <name val="Tahoma"/>
    </font>
    <font>
      <b/>
      <sz val="10"/>
      <color indexed="81"/>
      <name val="Tahoma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</font>
    <font>
      <b/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Verdana"/>
      <family val="2"/>
    </font>
    <font>
      <vertAlign val="superscript"/>
      <sz val="8"/>
      <name val="Arial"/>
      <family val="2"/>
    </font>
    <font>
      <sz val="8"/>
      <color indexed="48"/>
      <name val="Arial"/>
      <family val="2"/>
    </font>
    <font>
      <vertAlign val="subscript"/>
      <sz val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1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10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1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thick">
        <color indexed="64"/>
      </top>
      <bottom/>
      <diagonal/>
    </border>
    <border>
      <left style="medium">
        <color indexed="1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10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6" fontId="2" fillId="0" borderId="0">
      <protection locked="0"/>
    </xf>
    <xf numFmtId="164" fontId="2" fillId="0" borderId="0">
      <protection locked="0"/>
    </xf>
    <xf numFmtId="165" fontId="3" fillId="0" borderId="0">
      <protection locked="0"/>
    </xf>
    <xf numFmtId="165" fontId="4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2" fillId="0" borderId="1">
      <protection locked="0"/>
    </xf>
  </cellStyleXfs>
  <cellXfs count="18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9" fillId="0" borderId="0" xfId="5" applyFont="1" applyAlignment="1" applyProtection="1">
      <alignment horizontal="center"/>
    </xf>
    <xf numFmtId="0" fontId="6" fillId="0" borderId="2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2" borderId="0" xfId="0" applyFont="1" applyFill="1"/>
    <xf numFmtId="0" fontId="5" fillId="3" borderId="5" xfId="0" applyNumberFormat="1" applyFont="1" applyFill="1" applyBorder="1" applyProtection="1">
      <protection locked="0"/>
    </xf>
    <xf numFmtId="0" fontId="5" fillId="2" borderId="5" xfId="0" applyFont="1" applyFill="1" applyBorder="1"/>
    <xf numFmtId="0" fontId="5" fillId="2" borderId="6" xfId="0" applyFont="1" applyFill="1" applyBorder="1"/>
    <xf numFmtId="0" fontId="5" fillId="4" borderId="7" xfId="0" applyFont="1" applyFill="1" applyBorder="1"/>
    <xf numFmtId="0" fontId="5" fillId="2" borderId="5" xfId="0" applyNumberFormat="1" applyFont="1" applyFill="1" applyBorder="1"/>
    <xf numFmtId="0" fontId="5" fillId="3" borderId="5" xfId="0" applyFont="1" applyFill="1" applyBorder="1" applyProtection="1">
      <protection locked="0"/>
    </xf>
    <xf numFmtId="0" fontId="5" fillId="0" borderId="0" xfId="0" applyFont="1" applyFill="1"/>
    <xf numFmtId="0" fontId="5" fillId="0" borderId="5" xfId="0" applyNumberFormat="1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2" borderId="8" xfId="0" applyFont="1" applyFill="1" applyBorder="1"/>
    <xf numFmtId="0" fontId="5" fillId="0" borderId="8" xfId="0" applyFont="1" applyBorder="1"/>
    <xf numFmtId="0" fontId="5" fillId="2" borderId="9" xfId="0" applyNumberFormat="1" applyFont="1" applyFill="1" applyBorder="1"/>
    <xf numFmtId="0" fontId="5" fillId="2" borderId="9" xfId="0" applyFont="1" applyFill="1" applyBorder="1"/>
    <xf numFmtId="0" fontId="5" fillId="3" borderId="9" xfId="0" applyFont="1" applyFill="1" applyBorder="1" applyProtection="1">
      <protection locked="0"/>
    </xf>
    <xf numFmtId="0" fontId="5" fillId="2" borderId="10" xfId="0" applyFont="1" applyFill="1" applyBorder="1"/>
    <xf numFmtId="0" fontId="5" fillId="4" borderId="11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5" fillId="0" borderId="9" xfId="0" applyNumberFormat="1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3" borderId="10" xfId="0" applyFont="1" applyFill="1" applyBorder="1" applyProtection="1">
      <protection locked="0"/>
    </xf>
    <xf numFmtId="0" fontId="5" fillId="0" borderId="0" xfId="0" applyNumberFormat="1" applyFont="1" applyFill="1"/>
    <xf numFmtId="0" fontId="5" fillId="0" borderId="12" xfId="0" applyFont="1" applyBorder="1"/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2" borderId="7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2" borderId="11" xfId="0" applyFont="1" applyFill="1" applyBorder="1"/>
    <xf numFmtId="0" fontId="5" fillId="0" borderId="11" xfId="0" applyFont="1" applyBorder="1"/>
    <xf numFmtId="0" fontId="5" fillId="0" borderId="15" xfId="0" applyFont="1" applyBorder="1"/>
    <xf numFmtId="0" fontId="5" fillId="2" borderId="16" xfId="0" applyFont="1" applyFill="1" applyBorder="1"/>
    <xf numFmtId="0" fontId="5" fillId="0" borderId="16" xfId="0" applyFont="1" applyBorder="1"/>
    <xf numFmtId="0" fontId="5" fillId="3" borderId="17" xfId="0" applyFont="1" applyFill="1" applyBorder="1" applyProtection="1">
      <protection locked="0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0" xfId="0" applyFont="1" applyFill="1" applyBorder="1"/>
    <xf numFmtId="0" fontId="5" fillId="3" borderId="6" xfId="0" applyFont="1" applyFill="1" applyBorder="1" applyProtection="1">
      <protection locked="0"/>
    </xf>
    <xf numFmtId="0" fontId="5" fillId="2" borderId="9" xfId="0" applyFont="1" applyFill="1" applyBorder="1" applyProtection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20" xfId="0" applyFont="1" applyBorder="1"/>
    <xf numFmtId="0" fontId="5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1" xfId="0" applyFont="1" applyBorder="1"/>
    <xf numFmtId="0" fontId="5" fillId="2" borderId="23" xfId="0" applyFont="1" applyFill="1" applyBorder="1"/>
    <xf numFmtId="3" fontId="5" fillId="0" borderId="5" xfId="0" applyNumberFormat="1" applyFont="1" applyFill="1" applyBorder="1"/>
    <xf numFmtId="3" fontId="5" fillId="2" borderId="5" xfId="0" applyNumberFormat="1" applyFont="1" applyFill="1" applyBorder="1"/>
    <xf numFmtId="3" fontId="5" fillId="2" borderId="6" xfId="0" applyNumberFormat="1" applyFont="1" applyFill="1" applyBorder="1"/>
    <xf numFmtId="0" fontId="5" fillId="0" borderId="25" xfId="0" applyFont="1" applyBorder="1"/>
    <xf numFmtId="0" fontId="5" fillId="0" borderId="26" xfId="0" applyFont="1" applyFill="1" applyBorder="1"/>
    <xf numFmtId="0" fontId="5" fillId="3" borderId="26" xfId="0" applyFont="1" applyFill="1" applyBorder="1" applyProtection="1">
      <protection locked="0"/>
    </xf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0" fontId="5" fillId="0" borderId="28" xfId="0" applyFont="1" applyBorder="1"/>
    <xf numFmtId="3" fontId="5" fillId="0" borderId="6" xfId="0" applyNumberFormat="1" applyFont="1" applyFill="1" applyBorder="1"/>
    <xf numFmtId="0" fontId="5" fillId="5" borderId="5" xfId="0" applyFont="1" applyFill="1" applyBorder="1"/>
    <xf numFmtId="14" fontId="5" fillId="0" borderId="0" xfId="0" applyNumberFormat="1" applyFont="1"/>
    <xf numFmtId="0" fontId="12" fillId="0" borderId="0" xfId="5" applyFont="1" applyAlignment="1" applyProtection="1"/>
    <xf numFmtId="0" fontId="6" fillId="0" borderId="29" xfId="0" applyFont="1" applyBorder="1"/>
    <xf numFmtId="0" fontId="6" fillId="0" borderId="12" xfId="0" applyFont="1" applyBorder="1"/>
    <xf numFmtId="0" fontId="6" fillId="0" borderId="30" xfId="0" applyFont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0" borderId="5" xfId="0" applyFont="1" applyFill="1" applyBorder="1"/>
    <xf numFmtId="0" fontId="6" fillId="2" borderId="9" xfId="0" applyFont="1" applyFill="1" applyBorder="1"/>
    <xf numFmtId="0" fontId="6" fillId="0" borderId="0" xfId="0" applyFont="1" applyFill="1"/>
    <xf numFmtId="0" fontId="6" fillId="0" borderId="31" xfId="0" applyFont="1" applyBorder="1"/>
    <xf numFmtId="0" fontId="6" fillId="0" borderId="0" xfId="0" applyFont="1" applyFill="1" applyBorder="1"/>
    <xf numFmtId="3" fontId="13" fillId="0" borderId="0" xfId="0" applyNumberFormat="1" applyFont="1" applyBorder="1"/>
    <xf numFmtId="0" fontId="13" fillId="0" borderId="0" xfId="0" applyFont="1"/>
    <xf numFmtId="3" fontId="13" fillId="0" borderId="0" xfId="0" applyNumberFormat="1" applyFont="1"/>
    <xf numFmtId="49" fontId="13" fillId="0" borderId="0" xfId="0" applyNumberFormat="1" applyFont="1" applyBorder="1"/>
    <xf numFmtId="167" fontId="13" fillId="0" borderId="0" xfId="0" applyNumberFormat="1" applyFont="1"/>
    <xf numFmtId="0" fontId="13" fillId="0" borderId="0" xfId="0" applyFont="1" applyAlignment="1"/>
    <xf numFmtId="169" fontId="13" fillId="0" borderId="0" xfId="0" applyNumberFormat="1" applyFont="1" applyAlignment="1"/>
    <xf numFmtId="1" fontId="14" fillId="0" borderId="0" xfId="0" applyNumberFormat="1" applyFont="1" applyAlignment="1"/>
    <xf numFmtId="1" fontId="13" fillId="0" borderId="0" xfId="0" applyNumberFormat="1" applyFont="1" applyAlignment="1"/>
    <xf numFmtId="170" fontId="13" fillId="0" borderId="0" xfId="0" applyNumberFormat="1" applyFont="1" applyAlignment="1"/>
    <xf numFmtId="10" fontId="13" fillId="0" borderId="0" xfId="0" applyNumberFormat="1" applyFont="1" applyAlignment="1"/>
    <xf numFmtId="0" fontId="13" fillId="0" borderId="0" xfId="0" applyFont="1" applyBorder="1" applyAlignment="1" applyProtection="1"/>
    <xf numFmtId="0" fontId="13" fillId="0" borderId="0" xfId="0" applyFont="1" applyBorder="1" applyAlignment="1"/>
    <xf numFmtId="169" fontId="13" fillId="0" borderId="0" xfId="0" applyNumberFormat="1" applyFont="1" applyBorder="1" applyAlignment="1" applyProtection="1"/>
    <xf numFmtId="169" fontId="13" fillId="0" borderId="0" xfId="0" applyNumberFormat="1" applyFont="1" applyBorder="1" applyAlignment="1"/>
    <xf numFmtId="1" fontId="14" fillId="0" borderId="0" xfId="0" applyNumberFormat="1" applyFont="1" applyBorder="1" applyAlignment="1" applyProtection="1"/>
    <xf numFmtId="0" fontId="13" fillId="0" borderId="0" xfId="0" applyNumberFormat="1" applyFont="1" applyBorder="1" applyAlignment="1">
      <alignment horizontal="left"/>
    </xf>
    <xf numFmtId="49" fontId="1" fillId="0" borderId="0" xfId="6" applyNumberFormat="1" applyAlignment="1">
      <alignment horizontal="center" wrapText="1"/>
    </xf>
    <xf numFmtId="0" fontId="16" fillId="6" borderId="0" xfId="6" applyFont="1" applyFill="1" applyBorder="1" applyAlignment="1">
      <alignment horizontal="center" wrapText="1"/>
    </xf>
    <xf numFmtId="0" fontId="1" fillId="0" borderId="0" xfId="6"/>
    <xf numFmtId="171" fontId="1" fillId="0" borderId="0" xfId="6" applyNumberFormat="1" applyAlignment="1">
      <alignment horizontal="center" wrapText="1"/>
    </xf>
    <xf numFmtId="0" fontId="1" fillId="6" borderId="25" xfId="6" applyFill="1" applyBorder="1"/>
    <xf numFmtId="0" fontId="1" fillId="6" borderId="0" xfId="6" applyFill="1" applyBorder="1"/>
    <xf numFmtId="0" fontId="1" fillId="0" borderId="0" xfId="6" applyBorder="1"/>
    <xf numFmtId="0" fontId="17" fillId="0" borderId="0" xfId="6" applyFont="1"/>
    <xf numFmtId="171" fontId="1" fillId="0" borderId="0" xfId="6" applyNumberFormat="1"/>
    <xf numFmtId="3" fontId="1" fillId="0" borderId="0" xfId="6" applyNumberFormat="1"/>
    <xf numFmtId="171" fontId="14" fillId="0" borderId="0" xfId="6" applyNumberFormat="1" applyFont="1"/>
    <xf numFmtId="3" fontId="14" fillId="0" borderId="0" xfId="6" applyNumberFormat="1" applyFont="1"/>
    <xf numFmtId="0" fontId="18" fillId="0" borderId="0" xfId="6" applyFont="1"/>
    <xf numFmtId="0" fontId="14" fillId="0" borderId="0" xfId="6" applyFont="1"/>
    <xf numFmtId="168" fontId="1" fillId="0" borderId="0" xfId="6" applyNumberFormat="1"/>
    <xf numFmtId="168" fontId="14" fillId="0" borderId="0" xfId="6" applyNumberFormat="1" applyFont="1"/>
    <xf numFmtId="0" fontId="1" fillId="0" borderId="0" xfId="6" applyFont="1"/>
    <xf numFmtId="0" fontId="1" fillId="0" borderId="0" xfId="6" applyFont="1" applyBorder="1"/>
    <xf numFmtId="0" fontId="17" fillId="0" borderId="0" xfId="6" applyFont="1" applyFill="1"/>
    <xf numFmtId="3" fontId="17" fillId="0" borderId="0" xfId="0" applyNumberFormat="1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18" xfId="6" applyFont="1" applyFill="1" applyBorder="1" applyAlignment="1">
      <alignment horizontal="center" wrapText="1"/>
    </xf>
    <xf numFmtId="0" fontId="20" fillId="0" borderId="18" xfId="6" applyFont="1" applyFill="1" applyBorder="1" applyAlignment="1">
      <alignment horizontal="center" wrapText="1"/>
    </xf>
    <xf numFmtId="0" fontId="19" fillId="0" borderId="0" xfId="6" applyFont="1" applyFill="1" applyBorder="1"/>
    <xf numFmtId="3" fontId="19" fillId="0" borderId="0" xfId="6" applyNumberFormat="1" applyFont="1" applyBorder="1"/>
    <xf numFmtId="0" fontId="20" fillId="0" borderId="17" xfId="6" applyFont="1" applyFill="1" applyBorder="1" applyAlignment="1">
      <alignment horizontal="center" wrapText="1"/>
    </xf>
    <xf numFmtId="168" fontId="19" fillId="0" borderId="0" xfId="6" applyNumberFormat="1" applyFont="1" applyBorder="1"/>
    <xf numFmtId="0" fontId="13" fillId="0" borderId="0" xfId="0" applyFont="1" applyFill="1"/>
    <xf numFmtId="3" fontId="13" fillId="0" borderId="0" xfId="0" applyNumberFormat="1" applyFont="1" applyFill="1" applyBorder="1"/>
    <xf numFmtId="3" fontId="13" fillId="0" borderId="0" xfId="0" applyNumberFormat="1" applyFont="1" applyFill="1"/>
    <xf numFmtId="167" fontId="13" fillId="0" borderId="0" xfId="0" applyNumberFormat="1" applyFont="1" applyFill="1"/>
    <xf numFmtId="0" fontId="17" fillId="0" borderId="0" xfId="0" applyFont="1" applyProtection="1"/>
    <xf numFmtId="167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17" fillId="0" borderId="0" xfId="0" applyFont="1"/>
    <xf numFmtId="3" fontId="23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8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3" fontId="17" fillId="0" borderId="0" xfId="0" applyNumberFormat="1" applyFont="1" applyFill="1" applyBorder="1" applyAlignment="1">
      <alignment horizontal="left"/>
    </xf>
    <xf numFmtId="9" fontId="17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18" fillId="0" borderId="0" xfId="0" applyFont="1"/>
    <xf numFmtId="3" fontId="17" fillId="0" borderId="0" xfId="0" applyNumberFormat="1" applyFont="1"/>
    <xf numFmtId="0" fontId="17" fillId="0" borderId="0" xfId="0" applyFont="1" applyBorder="1"/>
    <xf numFmtId="3" fontId="17" fillId="0" borderId="0" xfId="0" applyNumberFormat="1" applyFont="1" applyFill="1" applyBorder="1"/>
    <xf numFmtId="3" fontId="17" fillId="0" borderId="0" xfId="0" applyNumberFormat="1" applyFont="1" applyBorder="1"/>
    <xf numFmtId="167" fontId="17" fillId="0" borderId="0" xfId="0" applyNumberFormat="1" applyFont="1" applyBorder="1"/>
    <xf numFmtId="167" fontId="17" fillId="0" borderId="0" xfId="0" applyNumberFormat="1" applyFont="1" applyFill="1" applyBorder="1"/>
    <xf numFmtId="168" fontId="17" fillId="0" borderId="0" xfId="0" applyNumberFormat="1" applyFont="1" applyBorder="1"/>
    <xf numFmtId="167" fontId="17" fillId="0" borderId="0" xfId="0" applyNumberFormat="1" applyFont="1"/>
    <xf numFmtId="0" fontId="17" fillId="0" borderId="0" xfId="0" applyFont="1" applyBorder="1" applyAlignment="1" applyProtection="1"/>
    <xf numFmtId="9" fontId="17" fillId="0" borderId="0" xfId="0" applyNumberFormat="1" applyFont="1" applyBorder="1"/>
    <xf numFmtId="9" fontId="17" fillId="0" borderId="0" xfId="0" applyNumberFormat="1" applyFont="1"/>
    <xf numFmtId="49" fontId="17" fillId="0" borderId="0" xfId="0" applyNumberFormat="1" applyFont="1"/>
    <xf numFmtId="168" fontId="17" fillId="0" borderId="0" xfId="0" applyNumberFormat="1" applyFont="1"/>
    <xf numFmtId="168" fontId="26" fillId="0" borderId="0" xfId="0" applyNumberFormat="1" applyFont="1"/>
    <xf numFmtId="0" fontId="13" fillId="0" borderId="0" xfId="0" applyFont="1" applyBorder="1"/>
    <xf numFmtId="0" fontId="17" fillId="0" borderId="0" xfId="0" applyNumberFormat="1" applyFont="1" applyBorder="1"/>
    <xf numFmtId="0" fontId="17" fillId="0" borderId="0" xfId="0" applyNumberFormat="1" applyFont="1" applyBorder="1" applyAlignment="1"/>
    <xf numFmtId="0" fontId="13" fillId="0" borderId="0" xfId="0" applyNumberFormat="1" applyFont="1" applyBorder="1"/>
    <xf numFmtId="0" fontId="25" fillId="0" borderId="32" xfId="0" applyFont="1" applyBorder="1"/>
    <xf numFmtId="9" fontId="25" fillId="0" borderId="33" xfId="0" applyNumberFormat="1" applyFont="1" applyBorder="1"/>
    <xf numFmtId="9" fontId="25" fillId="0" borderId="34" xfId="0" applyNumberFormat="1" applyFont="1" applyBorder="1"/>
    <xf numFmtId="0" fontId="6" fillId="0" borderId="0" xfId="0" applyFont="1" applyBorder="1" applyAlignment="1">
      <alignment vertical="center" textRotation="180"/>
    </xf>
    <xf numFmtId="0" fontId="6" fillId="0" borderId="8" xfId="0" applyFont="1" applyBorder="1" applyAlignment="1">
      <alignment vertical="center" textRotation="180"/>
    </xf>
    <xf numFmtId="0" fontId="5" fillId="0" borderId="0" xfId="0" applyFont="1" applyAlignment="1">
      <alignment vertical="center" textRotation="180"/>
    </xf>
    <xf numFmtId="0" fontId="5" fillId="0" borderId="8" xfId="0" applyFont="1" applyBorder="1" applyAlignment="1">
      <alignment vertical="center" textRotation="180"/>
    </xf>
    <xf numFmtId="0" fontId="6" fillId="0" borderId="16" xfId="0" applyFont="1" applyBorder="1" applyAlignment="1">
      <alignment vertical="center" textRotation="180"/>
    </xf>
    <xf numFmtId="0" fontId="6" fillId="0" borderId="0" xfId="0" applyFont="1" applyAlignment="1">
      <alignment vertical="center" textRotation="180"/>
    </xf>
    <xf numFmtId="0" fontId="13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27" fillId="0" borderId="0" xfId="0" applyFont="1" applyBorder="1" applyAlignment="1" applyProtection="1">
      <alignment horizontal="centerContinuous"/>
    </xf>
    <xf numFmtId="0" fontId="27" fillId="0" borderId="0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3" fontId="17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vertical="center" readingOrder="1"/>
    </xf>
    <xf numFmtId="0" fontId="6" fillId="0" borderId="8" xfId="0" applyFont="1" applyBorder="1" applyAlignment="1">
      <alignment vertical="center" readingOrder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8">
    <cellStyle name="Date" xfId="1"/>
    <cellStyle name="Fixed" xfId="2"/>
    <cellStyle name="Heading1" xfId="3"/>
    <cellStyle name="Heading2" xfId="4"/>
    <cellStyle name="Hyperlink" xfId="5" builtinId="8"/>
    <cellStyle name="Normal" xfId="0" builtinId="0"/>
    <cellStyle name="Normal_Poly ag accts (2)" xfId="6"/>
    <cellStyle name="Total" xfId="7" builtinId="25" customBuiltin="1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8" formatCode="&quot;$&quot;#,##0.00"/>
    </dxf>
    <dxf>
      <numFmt numFmtId="3" formatCode="#,##0"/>
    </dxf>
    <dxf>
      <numFmt numFmtId="171" formatCode="m/d/yy"/>
    </dxf>
    <dxf>
      <numFmt numFmtId="3" formatCode="#,##0"/>
    </dxf>
    <dxf>
      <numFmt numFmtId="3" formatCode="#,##0"/>
    </dxf>
    <dxf>
      <numFmt numFmtId="171" formatCode="m/d/yy"/>
    </dxf>
    <dxf>
      <numFmt numFmtId="168" formatCode="&quot;$&quot;#,##0.00"/>
    </dxf>
    <dxf>
      <numFmt numFmtId="3" formatCode="#,##0"/>
    </dxf>
    <dxf>
      <numFmt numFmtId="171" formatCode="m/d/yy"/>
    </dxf>
    <dxf>
      <numFmt numFmtId="168" formatCode="&quot;$&quot;#,##0.00"/>
    </dxf>
    <dxf>
      <numFmt numFmtId="3" formatCode="#,##0"/>
    </dxf>
    <dxf>
      <numFmt numFmtId="171" formatCode="m/d/yy"/>
    </dxf>
    <dxf>
      <numFmt numFmtId="3" formatCode="#,##0"/>
    </dxf>
    <dxf>
      <numFmt numFmtId="171" formatCode="m/d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0.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Cal Poly Water Consumption</a:t>
            </a:r>
          </a:p>
        </c:rich>
      </c:tx>
      <c:layout>
        <c:manualLayout>
          <c:xMode val="edge"/>
          <c:yMode val="edge"/>
          <c:x val="0.34538186474596122"/>
          <c:y val="2.3206798866855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77529039526312"/>
          <c:y val="0.1181437033221736"/>
          <c:w val="0.78514133206785364"/>
          <c:h val="0.559072881792428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'Usage-Cost'!$A$38</c:f>
              <c:strCache>
                <c:ptCount val="1"/>
                <c:pt idx="0">
                  <c:v>Domestic City Water Use (hcf)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'Usage-Cost'!$B$37:$N$37</c:f>
              <c:strCach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 (Jan-Jun)</c:v>
                </c:pt>
              </c:strCache>
            </c:strRef>
          </c:cat>
          <c:val>
            <c:numRef>
              <c:f>'Usage-Cost'!$B$38:$N$38</c:f>
              <c:numCache>
                <c:formatCode>#,##0</c:formatCode>
                <c:ptCount val="13"/>
                <c:pt idx="0">
                  <c:v>286401</c:v>
                </c:pt>
                <c:pt idx="1">
                  <c:v>258936</c:v>
                </c:pt>
                <c:pt idx="2">
                  <c:v>243674</c:v>
                </c:pt>
                <c:pt idx="3">
                  <c:v>252154</c:v>
                </c:pt>
                <c:pt idx="4">
                  <c:v>243512</c:v>
                </c:pt>
                <c:pt idx="5">
                  <c:v>255631</c:v>
                </c:pt>
                <c:pt idx="6">
                  <c:v>245075</c:v>
                </c:pt>
                <c:pt idx="7">
                  <c:v>245660</c:v>
                </c:pt>
                <c:pt idx="8">
                  <c:v>221470</c:v>
                </c:pt>
                <c:pt idx="9">
                  <c:v>244267.5</c:v>
                </c:pt>
                <c:pt idx="10">
                  <c:v>240587</c:v>
                </c:pt>
                <c:pt idx="11">
                  <c:v>260712</c:v>
                </c:pt>
                <c:pt idx="12">
                  <c:v>130922</c:v>
                </c:pt>
              </c:numCache>
            </c:numRef>
          </c:val>
        </c:ser>
        <c:ser>
          <c:idx val="1"/>
          <c:order val="1"/>
          <c:tx>
            <c:strRef>
              <c:f>'Usage-Cost'!$A$39</c:f>
              <c:strCache>
                <c:ptCount val="1"/>
                <c:pt idx="0">
                  <c:v>Agricultural City Water Use (hcf)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'Usage-Cost'!$B$37:$N$37</c:f>
              <c:strCach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 (Jan-Jun)</c:v>
                </c:pt>
              </c:strCache>
            </c:strRef>
          </c:cat>
          <c:val>
            <c:numRef>
              <c:f>'Usage-Cost'!$B$39:$N$39</c:f>
              <c:numCache>
                <c:formatCode>#,##0</c:formatCode>
                <c:ptCount val="13"/>
                <c:pt idx="0">
                  <c:v>199000.69800179996</c:v>
                </c:pt>
                <c:pt idx="1">
                  <c:v>159561.23736550944</c:v>
                </c:pt>
                <c:pt idx="2">
                  <c:v>191534.46920451679</c:v>
                </c:pt>
                <c:pt idx="3">
                  <c:v>223647.09387987945</c:v>
                </c:pt>
                <c:pt idx="4">
                  <c:v>222026.65215724858</c:v>
                </c:pt>
                <c:pt idx="5">
                  <c:v>160606.68363817452</c:v>
                </c:pt>
                <c:pt idx="6">
                  <c:v>157252.54351337402</c:v>
                </c:pt>
                <c:pt idx="7">
                  <c:v>166225.9573537494</c:v>
                </c:pt>
                <c:pt idx="8">
                  <c:v>115295.29977041506</c:v>
                </c:pt>
                <c:pt idx="9">
                  <c:v>143709.658256225</c:v>
                </c:pt>
                <c:pt idx="10">
                  <c:v>175190.65914185255</c:v>
                </c:pt>
                <c:pt idx="11">
                  <c:v>184564.8273867495</c:v>
                </c:pt>
                <c:pt idx="12">
                  <c:v>95052.846315937248</c:v>
                </c:pt>
              </c:numCache>
            </c:numRef>
          </c:val>
        </c:ser>
        <c:ser>
          <c:idx val="2"/>
          <c:order val="2"/>
          <c:tx>
            <c:strRef>
              <c:f>'Usage-Cost'!$A$40</c:f>
              <c:strCache>
                <c:ptCount val="1"/>
                <c:pt idx="0">
                  <c:v>Ag Well Pumps (hcf)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'Usage-Cost'!$B$37:$N$37</c:f>
              <c:strCach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 (Jan-Jun)</c:v>
                </c:pt>
              </c:strCache>
            </c:strRef>
          </c:cat>
          <c:val>
            <c:numRef>
              <c:f>'Usage-Cost'!$B$40:$N$40</c:f>
              <c:numCache>
                <c:formatCode>#,##0</c:formatCode>
                <c:ptCount val="13"/>
                <c:pt idx="2">
                  <c:v>74233.611692307692</c:v>
                </c:pt>
                <c:pt idx="3">
                  <c:v>76640.804307692306</c:v>
                </c:pt>
                <c:pt idx="4">
                  <c:v>80783.695384615377</c:v>
                </c:pt>
                <c:pt idx="5">
                  <c:v>51699.688615384614</c:v>
                </c:pt>
                <c:pt idx="6">
                  <c:v>42294.163632527467</c:v>
                </c:pt>
                <c:pt idx="7">
                  <c:v>49644.661846153846</c:v>
                </c:pt>
                <c:pt idx="8">
                  <c:v>74715.452307692307</c:v>
                </c:pt>
                <c:pt idx="9">
                  <c:v>40672.307076923076</c:v>
                </c:pt>
                <c:pt idx="10">
                  <c:v>63462.899076923073</c:v>
                </c:pt>
                <c:pt idx="11">
                  <c:v>58817.392615384619</c:v>
                </c:pt>
                <c:pt idx="12">
                  <c:v>16668.736615384616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404544"/>
        <c:axId val="151406080"/>
      </c:barChart>
      <c:catAx>
        <c:axId val="15140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06080"/>
        <c:crosses val="autoZero"/>
        <c:auto val="1"/>
        <c:lblAlgn val="ctr"/>
        <c:lblOffset val="100"/>
        <c:tickMarkSkip val="1"/>
        <c:noMultiLvlLbl val="0"/>
      </c:catAx>
      <c:valAx>
        <c:axId val="1514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Consumption (hcf)</a:t>
                </a:r>
              </a:p>
            </c:rich>
          </c:tx>
          <c:layout>
            <c:manualLayout>
              <c:xMode val="edge"/>
              <c:yMode val="edge"/>
              <c:x val="3.8152647849844554E-2"/>
              <c:y val="0.18565439093484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04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808620308003665"/>
          <c:y val="2.1099261326511303E-3"/>
          <c:w val="0.28815289297119434"/>
          <c:h val="0.10970486737058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Whale Rock Reservoir Storage</a:t>
            </a:r>
          </a:p>
        </c:rich>
      </c:tx>
      <c:layout>
        <c:manualLayout>
          <c:xMode val="edge"/>
          <c:yMode val="edge"/>
          <c:x val="0.3670733893110408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5862808369143"/>
          <c:y val="0.19805194805194806"/>
          <c:w val="0.82926878648341429"/>
          <c:h val="0.480519480519480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Storage!$A$4</c:f>
              <c:strCache>
                <c:ptCount val="1"/>
                <c:pt idx="0">
                  <c:v>Total (AF)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Storage!$B$3:$O$3</c:f>
              <c:strCach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strCache>
            </c:strRef>
          </c:cat>
          <c:val>
            <c:numRef>
              <c:f>Storage!$B$4:$O$4</c:f>
              <c:numCache>
                <c:formatCode>#,##0</c:formatCode>
                <c:ptCount val="14"/>
                <c:pt idx="0">
                  <c:v>33342</c:v>
                </c:pt>
                <c:pt idx="1">
                  <c:v>41258</c:v>
                </c:pt>
                <c:pt idx="2">
                  <c:v>37525.199999999997</c:v>
                </c:pt>
                <c:pt idx="3">
                  <c:v>38761.199999999997</c:v>
                </c:pt>
                <c:pt idx="4">
                  <c:v>37695.300000000003</c:v>
                </c:pt>
                <c:pt idx="5">
                  <c:v>38038.5</c:v>
                </c:pt>
                <c:pt idx="6">
                  <c:v>37355.1</c:v>
                </c:pt>
                <c:pt idx="7">
                  <c:v>33235.800000000003</c:v>
                </c:pt>
                <c:pt idx="8">
                  <c:v>29827.200000000001</c:v>
                </c:pt>
                <c:pt idx="9">
                  <c:v>28743</c:v>
                </c:pt>
                <c:pt idx="10">
                  <c:v>36510.400000000001</c:v>
                </c:pt>
                <c:pt idx="11">
                  <c:v>38588.199999999997</c:v>
                </c:pt>
                <c:pt idx="12">
                  <c:v>29380.5</c:v>
                </c:pt>
                <c:pt idx="13">
                  <c:v>36566.199999999997</c:v>
                </c:pt>
              </c:numCache>
            </c:numRef>
          </c:val>
        </c:ser>
        <c:ser>
          <c:idx val="0"/>
          <c:order val="1"/>
          <c:tx>
            <c:strRef>
              <c:f>Storage!$A$5</c:f>
              <c:strCache>
                <c:ptCount val="1"/>
                <c:pt idx="0">
                  <c:v>Available (AF)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Storage!$B$3:$O$3</c:f>
              <c:strCach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strCache>
            </c:strRef>
          </c:cat>
          <c:val>
            <c:numRef>
              <c:f>Storage!$B$5:$O$5</c:f>
              <c:numCache>
                <c:formatCode>#,##0</c:formatCode>
                <c:ptCount val="14"/>
                <c:pt idx="0">
                  <c:v>10565.388199999999</c:v>
                </c:pt>
                <c:pt idx="1">
                  <c:v>13233.871799999999</c:v>
                </c:pt>
                <c:pt idx="2">
                  <c:v>11975.544919999998</c:v>
                </c:pt>
                <c:pt idx="3">
                  <c:v>12392.200519999999</c:v>
                </c:pt>
                <c:pt idx="4">
                  <c:v>12032.885630000001</c:v>
                </c:pt>
                <c:pt idx="5">
                  <c:v>12148.57835</c:v>
                </c:pt>
                <c:pt idx="6">
                  <c:v>11918.20421</c:v>
                </c:pt>
                <c:pt idx="7">
                  <c:v>10529.588180000001</c:v>
                </c:pt>
                <c:pt idx="8">
                  <c:v>9380.5491199999997</c:v>
                </c:pt>
                <c:pt idx="9">
                  <c:v>9015.0653000000002</c:v>
                </c:pt>
                <c:pt idx="10">
                  <c:v>11633.455840000001</c:v>
                </c:pt>
                <c:pt idx="11">
                  <c:v>12333.88222</c:v>
                </c:pt>
                <c:pt idx="12">
                  <c:v>9229.9665499999992</c:v>
                </c:pt>
                <c:pt idx="13">
                  <c:v>11652.266019999999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52911232"/>
        <c:axId val="152913408"/>
      </c:barChart>
      <c:catAx>
        <c:axId val="15291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</a:t>
                </a:r>
              </a:p>
            </c:rich>
          </c:tx>
          <c:layout>
            <c:manualLayout>
              <c:xMode val="edge"/>
              <c:yMode val="edge"/>
              <c:x val="0.47073198762146745"/>
              <c:y val="0.892857142857142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13408"/>
        <c:crosses val="autoZero"/>
        <c:auto val="1"/>
        <c:lblAlgn val="ctr"/>
        <c:lblOffset val="100"/>
        <c:tickMarkSkip val="1"/>
        <c:noMultiLvlLbl val="0"/>
      </c:catAx>
      <c:valAx>
        <c:axId val="15291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 Poly's Share (AF)</a:t>
                </a:r>
              </a:p>
            </c:rich>
          </c:tx>
          <c:layout>
            <c:manualLayout>
              <c:xMode val="edge"/>
              <c:yMode val="edge"/>
              <c:x val="1.9512206740786221E-2"/>
              <c:y val="0.243506493506493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1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57150</xdr:rowOff>
    </xdr:from>
    <xdr:to>
      <xdr:col>14</xdr:col>
      <xdr:colOff>552450</xdr:colOff>
      <xdr:row>75</xdr:row>
      <xdr:rowOff>0</xdr:rowOff>
    </xdr:to>
    <xdr:graphicFrame macro="">
      <xdr:nvGraphicFramePr>
        <xdr:cNvPr id="2059" name="Chart 11" title="Cal Poly Water Consump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95250</xdr:rowOff>
    </xdr:from>
    <xdr:to>
      <xdr:col>15</xdr:col>
      <xdr:colOff>666750</xdr:colOff>
      <xdr:row>24</xdr:row>
      <xdr:rowOff>114300</xdr:rowOff>
    </xdr:to>
    <xdr:graphicFrame macro="">
      <xdr:nvGraphicFramePr>
        <xdr:cNvPr id="6148" name="Chart 4" title="Whale Rock Reservoir Storag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N43" totalsRowShown="0" headerRowDxfId="117" dataDxfId="116">
  <autoFilter ref="A1:N43"/>
  <tableColumns count="14">
    <tableColumn id="1" name="Year" dataDxfId="115"/>
    <tableColumn id="2" name="1997" dataDxfId="114"/>
    <tableColumn id="3" name="1998" dataDxfId="113"/>
    <tableColumn id="4" name="1999" dataDxfId="112"/>
    <tableColumn id="5" name="2000" dataDxfId="111"/>
    <tableColumn id="6" name="2001" dataDxfId="110"/>
    <tableColumn id="7" name="2002" dataDxfId="109"/>
    <tableColumn id="8" name="2003" dataDxfId="108"/>
    <tableColumn id="9" name="2004" dataDxfId="107"/>
    <tableColumn id="10" name="2005" dataDxfId="106"/>
    <tableColumn id="11" name="2006" dataDxfId="105"/>
    <tableColumn id="12" name="2007" dataDxfId="104"/>
    <tableColumn id="13" name="2008" dataDxfId="103"/>
    <tableColumn id="14" name="2009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sage-Cost"/>
    </ext>
  </extLst>
</table>
</file>

<file path=xl/tables/table2.xml><?xml version="1.0" encoding="utf-8"?>
<table xmlns="http://schemas.openxmlformats.org/spreadsheetml/2006/main" id="2" name="Table2" displayName="Table2" ref="C18:O20" totalsRowShown="0" headerRowDxfId="101">
  <autoFilter ref="C18:O20"/>
  <tableColumns count="13">
    <tableColumn id="1" name="Column1">
      <calculatedColumnFormula>((C18-C14)/C14)</calculatedColumnFormula>
    </tableColumn>
    <tableColumn id="2" name="Column2">
      <calculatedColumnFormula>((D18-D14)/D14)</calculatedColumnFormula>
    </tableColumn>
    <tableColumn id="3" name="Column3">
      <calculatedColumnFormula>((E18-E14)/E14)</calculatedColumnFormula>
    </tableColumn>
    <tableColumn id="4" name="Column4">
      <calculatedColumnFormula>((F18-F14)/F14)</calculatedColumnFormula>
    </tableColumn>
    <tableColumn id="5" name="Column5">
      <calculatedColumnFormula>((G18-G14)/G14)</calculatedColumnFormula>
    </tableColumn>
    <tableColumn id="6" name="Column6">
      <calculatedColumnFormula>((H18-H14)/H14)</calculatedColumnFormula>
    </tableColumn>
    <tableColumn id="7" name="Column7">
      <calculatedColumnFormula>((I18-I14)/I14)</calculatedColumnFormula>
    </tableColumn>
    <tableColumn id="8" name="Column8">
      <calculatedColumnFormula>((J18-J14)/J14)</calculatedColumnFormula>
    </tableColumn>
    <tableColumn id="9" name="Column9">
      <calculatedColumnFormula>((K18-K14)/K14)</calculatedColumnFormula>
    </tableColumn>
    <tableColumn id="10" name="Column10">
      <calculatedColumnFormula>((L18-L14)/L14)</calculatedColumnFormula>
    </tableColumn>
    <tableColumn id="11" name="Column11">
      <calculatedColumnFormula>((M18-M14)/M14)</calculatedColumnFormula>
    </tableColumn>
    <tableColumn id="12" name="Column12">
      <calculatedColumnFormula>((N18-N14)/N14)</calculatedColumnFormula>
    </tableColumn>
    <tableColumn id="13" name="Column13">
      <calculatedColumnFormula>((O18-O14)/O14)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l Poly Domestic Water Use (acre feet)" altTextSummary="From billings (Black Binders)"/>
    </ext>
  </extLst>
</table>
</file>

<file path=xl/tables/table3.xml><?xml version="1.0" encoding="utf-8"?>
<table xmlns="http://schemas.openxmlformats.org/spreadsheetml/2006/main" id="3" name="Table3" displayName="Table3" ref="A2:O16" totalsRowShown="0" headerRowDxfId="100" dataDxfId="99">
  <autoFilter ref="A2:O16"/>
  <tableColumns count="15">
    <tableColumn id="1" name="Column1" dataDxfId="98"/>
    <tableColumn id="2" name="1996" dataDxfId="97"/>
    <tableColumn id="3" name="1997" dataDxfId="96"/>
    <tableColumn id="4" name="1998" dataDxfId="95"/>
    <tableColumn id="5" name="1999" dataDxfId="94"/>
    <tableColumn id="6" name="2000" dataDxfId="93"/>
    <tableColumn id="7" name="2001" dataDxfId="92"/>
    <tableColumn id="8" name="2002" dataDxfId="91"/>
    <tableColumn id="9" name="2003" dataDxfId="90"/>
    <tableColumn id="10" name="2004" dataDxfId="89"/>
    <tableColumn id="11" name="2005" dataDxfId="88"/>
    <tableColumn id="12" name="2006" dataDxfId="87"/>
    <tableColumn id="13" name="2007" dataDxfId="86"/>
    <tableColumn id="14" name="2008" dataDxfId="85"/>
    <tableColumn id="15" name="2009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l Poly Domestic Water Use (acre feet)" altTextSummary="From WR Reports"/>
    </ext>
  </extLst>
</table>
</file>

<file path=xl/tables/table4.xml><?xml version="1.0" encoding="utf-8"?>
<table xmlns="http://schemas.openxmlformats.org/spreadsheetml/2006/main" id="4" name="Table4" displayName="Table4" ref="A22:O36" totalsRowShown="0" headerRowDxfId="83" dataDxfId="82">
  <autoFilter ref="A22:O36"/>
  <tableColumns count="15">
    <tableColumn id="1" name="Column1" dataDxfId="81"/>
    <tableColumn id="2" name="1996" dataDxfId="80"/>
    <tableColumn id="3" name="1997" dataDxfId="79"/>
    <tableColumn id="4" name="1998" dataDxfId="78"/>
    <tableColumn id="5" name="1999" dataDxfId="77"/>
    <tableColumn id="6" name="2000" dataDxfId="76"/>
    <tableColumn id="7" name="2001" dataDxfId="75"/>
    <tableColumn id="8" name="2002" dataDxfId="74"/>
    <tableColumn id="9" name="2003" dataDxfId="73"/>
    <tableColumn id="10" name="2004" dataDxfId="72"/>
    <tableColumn id="11" name="2005" dataDxfId="71"/>
    <tableColumn id="12" name="2006" dataDxfId="70"/>
    <tableColumn id="13" name="2007" dataDxfId="69"/>
    <tableColumn id="14" name="2008" dataDxfId="68"/>
    <tableColumn id="15" name="2009" dataDxfId="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l Poly Agricultural Water Use" altTextSummary="(acre feet)"/>
    </ext>
  </extLst>
</table>
</file>

<file path=xl/tables/table5.xml><?xml version="1.0" encoding="utf-8"?>
<table xmlns="http://schemas.openxmlformats.org/spreadsheetml/2006/main" id="5" name="Table5" displayName="Table5" ref="A38:O51" totalsRowShown="0" headerRowDxfId="66" dataDxfId="65">
  <autoFilter ref="A38:O51"/>
  <tableColumns count="15">
    <tableColumn id="1" name="Column1" dataDxfId="64"/>
    <tableColumn id="2" name="1996" dataDxfId="63"/>
    <tableColumn id="3" name="1997" dataDxfId="62"/>
    <tableColumn id="4" name="1998" dataDxfId="61"/>
    <tableColumn id="5" name="1999" dataDxfId="60"/>
    <tableColumn id="6" name="2000" dataDxfId="59"/>
    <tableColumn id="7" name="2001" dataDxfId="58"/>
    <tableColumn id="8" name="2002" dataDxfId="57"/>
    <tableColumn id="9" name="2003" dataDxfId="56"/>
    <tableColumn id="10" name="2004" dataDxfId="55"/>
    <tableColumn id="11" name="2005" dataDxfId="54"/>
    <tableColumn id="12" name="2006" dataDxfId="53"/>
    <tableColumn id="13" name="2007" dataDxfId="52"/>
    <tableColumn id="14" name="2008" dataDxfId="51"/>
    <tableColumn id="15" name="2009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l Poly Agricultural Water from Whale Rock REservoir " altTextSummary="acre feet"/>
    </ext>
  </extLst>
</table>
</file>

<file path=xl/tables/table6.xml><?xml version="1.0" encoding="utf-8"?>
<table xmlns="http://schemas.openxmlformats.org/spreadsheetml/2006/main" id="6" name="Table6" displayName="Table6" ref="A2:N11" totalsRowShown="0" headerRowDxfId="49" dataDxfId="48">
  <autoFilter ref="A2:N11"/>
  <tableColumns count="14">
    <tableColumn id="1" name="Year"/>
    <tableColumn id="2" name="1997" dataDxfId="47"/>
    <tableColumn id="3" name="1998" dataDxfId="46"/>
    <tableColumn id="4" name="1999" dataDxfId="45"/>
    <tableColumn id="5" name="2000" dataDxfId="44"/>
    <tableColumn id="6" name="2001" dataDxfId="43"/>
    <tableColumn id="7" name="2002" dataDxfId="42"/>
    <tableColumn id="8" name="2003" dataDxfId="41"/>
    <tableColumn id="9" name="2004" dataDxfId="40"/>
    <tableColumn id="10" name="2005" dataDxfId="39"/>
    <tableColumn id="11" name="2006" dataDxfId="38"/>
    <tableColumn id="12" name="2007" dataDxfId="37"/>
    <tableColumn id="13" name="2008" dataDxfId="36"/>
    <tableColumn id="14" name="2009 (Jan-Jun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g Well Pumps"/>
    </ext>
  </extLst>
</table>
</file>

<file path=xl/tables/table7.xml><?xml version="1.0" encoding="utf-8"?>
<table xmlns="http://schemas.openxmlformats.org/spreadsheetml/2006/main" id="7" name="Table7" displayName="Table7" ref="A1:T70" totalsRowShown="0" dataCellStyle="Normal_Poly ag accts (2)">
  <autoFilter ref="A1:T70"/>
  <tableColumns count="20">
    <tableColumn id="1" name="1920865005" dataDxfId="35" dataCellStyle="Normal_Poly ag accts (2)"/>
    <tableColumn id="2" name="Column1" dataDxfId="34" dataCellStyle="Normal_Poly ag accts (2)"/>
    <tableColumn id="3" name="CALIFORNIA POLYTECHNIC STATE UNIVERSITY" dataCellStyle="Normal_Poly ag accts (2)"/>
    <tableColumn id="4" name="2192601170" dataCellStyle="Normal_Poly ag accts (2)"/>
    <tableColumn id="5" name="Column2" dataCellStyle="Normal_Poly ag accts (2)"/>
    <tableColumn id="6" name="Column3" dataCellStyle="Normal_Poly ag accts (2)"/>
    <tableColumn id="7" name="2629198005" dataDxfId="33" dataCellStyle="Normal_Poly ag accts (2)"/>
    <tableColumn id="8" name="Column4" dataDxfId="32" dataCellStyle="Normal_Poly ag accts (2)"/>
    <tableColumn id="9" name="Column5" dataDxfId="31" dataCellStyle="Normal_Poly ag accts (2)"/>
    <tableColumn id="10" name="4917574005" dataDxfId="30" dataCellStyle="Normal_Poly ag accts (2)"/>
    <tableColumn id="11" name="Column6" dataDxfId="29" dataCellStyle="Normal_Poly ag accts (2)"/>
    <tableColumn id="12" name="Column7" dataDxfId="28" dataCellStyle="Normal_Poly ag accts (2)"/>
    <tableColumn id="13" name="6469946005" dataDxfId="27" dataCellStyle="Normal_Poly ag accts (2)"/>
    <tableColumn id="14" name="Column8" dataDxfId="26" dataCellStyle="Normal_Poly ag accts (2)"/>
    <tableColumn id="15" name="Column9" dataDxfId="25" dataCellStyle="Normal_Poly ag accts (2)"/>
    <tableColumn id="16" name="6931214005" dataDxfId="24" dataCellStyle="Normal_Poly ag accts (2)"/>
    <tableColumn id="17" name="Column10" dataDxfId="23" dataCellStyle="Normal_Poly ag accts (2)"/>
    <tableColumn id="18" name="Column11" dataDxfId="22" dataCellStyle="Normal_Poly ag accts (2)"/>
    <tableColumn id="19" name="Column12" dataDxfId="21" dataCellStyle="Normal_Poly ag accts (2)"/>
    <tableColumn id="20" name="Column13" dataDxfId="20" dataCellStyle="Normal_Poly ag accts (2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g-Pumps " altTextSummary="PGnE"/>
    </ext>
  </extLst>
</table>
</file>

<file path=xl/tables/table8.xml><?xml version="1.0" encoding="utf-8"?>
<table xmlns="http://schemas.openxmlformats.org/spreadsheetml/2006/main" id="8" name="Table8" displayName="Table8" ref="A3:O6" totalsRowShown="0" headerRowDxfId="19" dataDxfId="18">
  <autoFilter ref="A3:O6"/>
  <tableColumns count="15">
    <tableColumn id="1" name="Year" dataDxfId="17"/>
    <tableColumn id="2" name="1996" dataDxfId="16"/>
    <tableColumn id="3" name="1997" dataDxfId="15"/>
    <tableColumn id="4" name="1998" dataDxfId="14"/>
    <tableColumn id="5" name="1999" dataDxfId="13"/>
    <tableColumn id="6" name="2000" dataDxfId="12"/>
    <tableColumn id="7" name="2001" dataDxfId="11"/>
    <tableColumn id="8" name="2002" dataDxfId="10"/>
    <tableColumn id="9" name="2003" dataDxfId="9"/>
    <tableColumn id="10" name="2004" dataDxfId="8"/>
    <tableColumn id="11" name="2005" dataDxfId="7"/>
    <tableColumn id="12" name="2006" dataDxfId="6"/>
    <tableColumn id="13" name="2007" dataDxfId="5"/>
    <tableColumn id="14" name="2008" dataDxfId="4"/>
    <tableColumn id="15" name="2009" dataDxfId="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Whale Rock Reservoir Storage"/>
    </ext>
  </extLst>
</table>
</file>

<file path=xl/tables/table9.xml><?xml version="1.0" encoding="utf-8"?>
<table xmlns="http://schemas.openxmlformats.org/spreadsheetml/2006/main" id="9" name="Table9" displayName="Table9" ref="A2:O12" totalsRowShown="0" headerRowDxfId="2" headerRowBorderDxfId="1">
  <autoFilter ref="A2:O12"/>
  <tableColumns count="15">
    <tableColumn id="1" name="Year" dataDxfId="0"/>
    <tableColumn id="2" name="1997"/>
    <tableColumn id="3" name="1998"/>
    <tableColumn id="4" name="1999"/>
    <tableColumn id="5" name="2000"/>
    <tableColumn id="6" name="2001"/>
    <tableColumn id="7" name="2002"/>
    <tableColumn id="8" name="2003"/>
    <tableColumn id="9" name="2004"/>
    <tableColumn id="10" name="2005"/>
    <tableColumn id="11" name="2006"/>
    <tableColumn id="12" name="2007"/>
    <tableColumn id="13" name="2008"/>
    <tableColumn id="14" name="Average">
      <calculatedColumnFormula>AVERAGE(B3:M3)</calculatedColumnFormula>
    </tableColumn>
    <tableColumn id="15" name="200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I Uni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207"/>
  <sheetViews>
    <sheetView tabSelected="1" topLeftCell="A166" zoomScale="70" workbookViewId="0">
      <selection activeCell="A199" sqref="A199:XFD199"/>
    </sheetView>
  </sheetViews>
  <sheetFormatPr defaultRowHeight="15" x14ac:dyDescent="0.2"/>
  <cols>
    <col min="1" max="1" width="2.88671875" style="1" customWidth="1"/>
    <col min="2" max="2" width="13.77734375" style="1" customWidth="1"/>
    <col min="3" max="3" width="1.5546875" style="1" customWidth="1"/>
    <col min="4" max="5" width="9.77734375" style="1" bestFit="1" customWidth="1"/>
    <col min="6" max="6" width="9.88671875" style="1" bestFit="1" customWidth="1"/>
    <col min="7" max="8" width="11" style="1" bestFit="1" customWidth="1"/>
    <col min="9" max="9" width="12.33203125" style="1" bestFit="1" customWidth="1"/>
    <col min="10" max="10" width="11.21875" style="1" bestFit="1" customWidth="1"/>
    <col min="11" max="11" width="12.33203125" style="1" bestFit="1" customWidth="1"/>
    <col min="12" max="12" width="10" style="1" bestFit="1" customWidth="1"/>
    <col min="13" max="13" width="11" style="1" bestFit="1" customWidth="1"/>
    <col min="14" max="14" width="10.88671875" style="1" bestFit="1" customWidth="1"/>
    <col min="15" max="15" width="12.109375" style="1" bestFit="1" customWidth="1"/>
    <col min="16" max="16" width="10.77734375" style="1" customWidth="1"/>
    <col min="17" max="17" width="11" style="1" customWidth="1"/>
    <col min="18" max="22" width="9.6640625" style="1" bestFit="1" customWidth="1"/>
    <col min="23" max="26" width="8.88671875" style="1"/>
    <col min="27" max="27" width="8.5546875" style="1" bestFit="1" customWidth="1"/>
    <col min="28" max="16384" width="8.88671875" style="1"/>
  </cols>
  <sheetData>
    <row r="1" spans="1:18" ht="15.75" x14ac:dyDescent="0.25">
      <c r="B1" s="3" t="s">
        <v>15</v>
      </c>
      <c r="F1" s="1" t="s">
        <v>16</v>
      </c>
    </row>
    <row r="2" spans="1:18" ht="15.75" x14ac:dyDescent="0.25">
      <c r="B2" s="3" t="s">
        <v>17</v>
      </c>
    </row>
    <row r="3" spans="1:18" x14ac:dyDescent="0.2">
      <c r="B3" s="1" t="s">
        <v>18</v>
      </c>
    </row>
    <row r="4" spans="1:18" x14ac:dyDescent="0.2">
      <c r="B4" s="1" t="s">
        <v>19</v>
      </c>
    </row>
    <row r="5" spans="1:18" ht="15.75" x14ac:dyDescent="0.25">
      <c r="B5" s="3" t="s">
        <v>322</v>
      </c>
    </row>
    <row r="6" spans="1:18" ht="15.75" x14ac:dyDescent="0.25">
      <c r="B6" s="3" t="s">
        <v>323</v>
      </c>
    </row>
    <row r="7" spans="1:18" x14ac:dyDescent="0.2">
      <c r="B7" s="1" t="s">
        <v>20</v>
      </c>
    </row>
    <row r="8" spans="1:18" x14ac:dyDescent="0.2">
      <c r="B8" s="1" t="s">
        <v>21</v>
      </c>
    </row>
    <row r="9" spans="1:18" x14ac:dyDescent="0.2">
      <c r="B9" s="1" t="s">
        <v>22</v>
      </c>
    </row>
    <row r="10" spans="1:18" x14ac:dyDescent="0.2">
      <c r="N10" s="76"/>
    </row>
    <row r="11" spans="1:18" ht="15.75" x14ac:dyDescent="0.25">
      <c r="B11" s="3" t="s">
        <v>23</v>
      </c>
      <c r="D11" s="4" t="str">
        <f>HYPERLINK("[bills_conversions.xls]Conversions!Length",B14)</f>
        <v>Length</v>
      </c>
      <c r="E11" s="4" t="str">
        <f>HYPERLINK("[bills_conversions.xls]Conversions!Area",B32)</f>
        <v>Area</v>
      </c>
      <c r="F11" s="4" t="str">
        <f>HYPERLINK("[bills_conversions.xls]Conversions!Volume",$B50)</f>
        <v>Volume</v>
      </c>
      <c r="G11" s="4" t="str">
        <f>HYPERLINK("[bills_conversions.xls]Conversions!Dry_Volume",$B73)</f>
        <v>Dry Volume</v>
      </c>
      <c r="H11" s="4" t="str">
        <f>HYPERLINK("[bills_conversions.xls]Conversions!Mass",$B83)</f>
        <v>Mass</v>
      </c>
      <c r="I11" s="4" t="str">
        <f>HYPERLINK("[bills_conversions.xls]Conversions!Power",Power)</f>
        <v>Power</v>
      </c>
      <c r="J11" s="4" t="str">
        <f>HYPERLINK("[bills_conversions.xls]Conversions!Energy",Energy)</f>
        <v>Energy</v>
      </c>
      <c r="K11" s="4"/>
      <c r="L11" s="4" t="str">
        <f>HYPERLINK("[bills_conversions.xls]Conversions!Updates",Updates)</f>
        <v>Updates</v>
      </c>
      <c r="M11" s="4"/>
    </row>
    <row r="12" spans="1:18" ht="15.75" x14ac:dyDescent="0.25">
      <c r="D12" s="4" t="str">
        <f>HYPERLINK("[bills_conversions.xls]Conversions!Force",Force)</f>
        <v>Force</v>
      </c>
      <c r="E12" s="4" t="str">
        <f>HYPERLINK("[bills_conversions.xls]Conversions!Temperature",Temperature)</f>
        <v>Temperature</v>
      </c>
      <c r="F12" s="4" t="str">
        <f>HYPERLINK("[bills_conversions.xls]Conversions!Velocity",Velocity)</f>
        <v>Velocity</v>
      </c>
      <c r="G12" s="4" t="str">
        <f>HYPERLINK("[bills_conversions.xls]Conversions!Acceleration",Acceleration)</f>
        <v>Acceleration</v>
      </c>
      <c r="H12" s="4" t="str">
        <f>HYPERLINK("[bills_conversions.xls]Conversions!Time",Time)</f>
        <v>Time</v>
      </c>
      <c r="I12" s="4" t="str">
        <f>HYPERLINK("[bills_conversions.xls]Conversions!Data",Data)</f>
        <v>Data</v>
      </c>
      <c r="J12" s="3"/>
      <c r="K12" s="3"/>
      <c r="L12" s="3"/>
    </row>
    <row r="13" spans="1:18" ht="15.75" thickBot="1" x14ac:dyDescent="0.25"/>
    <row r="14" spans="1:18" s="6" customFormat="1" ht="31.5" thickTop="1" x14ac:dyDescent="0.25">
      <c r="A14" s="183"/>
      <c r="B14" s="5" t="s">
        <v>24</v>
      </c>
      <c r="D14" s="7" t="s">
        <v>25</v>
      </c>
      <c r="E14" s="7" t="s">
        <v>26</v>
      </c>
      <c r="F14" s="7" t="s">
        <v>27</v>
      </c>
      <c r="G14" s="7" t="s">
        <v>28</v>
      </c>
      <c r="H14" s="7" t="s">
        <v>29</v>
      </c>
      <c r="I14" s="7" t="s">
        <v>30</v>
      </c>
      <c r="J14" s="7" t="s">
        <v>31</v>
      </c>
      <c r="K14" s="7" t="s">
        <v>32</v>
      </c>
      <c r="L14" s="7" t="s">
        <v>33</v>
      </c>
      <c r="M14" s="7" t="s">
        <v>34</v>
      </c>
      <c r="N14" s="7" t="s">
        <v>35</v>
      </c>
      <c r="O14" s="7" t="s">
        <v>36</v>
      </c>
      <c r="P14" s="7" t="s">
        <v>37</v>
      </c>
      <c r="Q14" s="8" t="s">
        <v>38</v>
      </c>
      <c r="R14" s="77" t="s">
        <v>24</v>
      </c>
    </row>
    <row r="15" spans="1:18" ht="50.25" x14ac:dyDescent="0.2">
      <c r="A15" s="173" t="s">
        <v>39</v>
      </c>
      <c r="B15" s="9" t="s">
        <v>40</v>
      </c>
      <c r="D15" s="10">
        <v>1</v>
      </c>
      <c r="E15" s="11">
        <f>E$16*1000</f>
        <v>1000</v>
      </c>
      <c r="F15" s="11">
        <f>F$17*12*1000</f>
        <v>12000</v>
      </c>
      <c r="G15" s="11">
        <f>G$18*36*1000</f>
        <v>36000</v>
      </c>
      <c r="H15" s="11">
        <f>H$19*5280*12*1000</f>
        <v>63360000</v>
      </c>
      <c r="I15" s="11">
        <f>I$20*1852*100/2.54*1000</f>
        <v>72913385.826771662</v>
      </c>
      <c r="J15" s="11">
        <f>J$21/25.4</f>
        <v>3.937007874015748E-2</v>
      </c>
      <c r="K15" s="11">
        <f>K$22/25.4*1000</f>
        <v>39.370078740157481</v>
      </c>
      <c r="L15" s="11">
        <f>L$23/2.54*1000</f>
        <v>393.70078740157476</v>
      </c>
      <c r="M15" s="11">
        <f>M$24/25.4*1000*1000</f>
        <v>39370.078740157478</v>
      </c>
      <c r="N15" s="11">
        <f>N$25/25.4*1000*1000*1000</f>
        <v>39370078.740157478</v>
      </c>
      <c r="O15" s="11">
        <f>O$26*660*12*1000</f>
        <v>7920000</v>
      </c>
      <c r="P15" s="11">
        <f>P$27*16.5*12*1000</f>
        <v>198000</v>
      </c>
      <c r="Q15" s="12">
        <f>Q$28*299792458*(365*24*60*60+5*60*60+48*60+46)*1000*1000/25.4</f>
        <v>3.7246174852220899E+20</v>
      </c>
      <c r="R15" s="13" t="s">
        <v>40</v>
      </c>
    </row>
    <row r="16" spans="1:18" x14ac:dyDescent="0.2">
      <c r="A16" s="173"/>
      <c r="B16" s="9" t="s">
        <v>41</v>
      </c>
      <c r="D16" s="14">
        <f>D$15/1000</f>
        <v>1E-3</v>
      </c>
      <c r="E16" s="15">
        <v>1</v>
      </c>
      <c r="F16" s="11">
        <f>F$17*12</f>
        <v>12</v>
      </c>
      <c r="G16" s="11">
        <f>G$18*36</f>
        <v>36</v>
      </c>
      <c r="H16" s="11">
        <f>H$19*5280*12</f>
        <v>63360</v>
      </c>
      <c r="I16" s="11">
        <f>I$20*1852*100/2.54</f>
        <v>72913.385826771657</v>
      </c>
      <c r="J16" s="11">
        <f>J$21/25.4/1000</f>
        <v>3.9370078740157478E-5</v>
      </c>
      <c r="K16" s="11">
        <f>K$22/25.4</f>
        <v>3.937007874015748E-2</v>
      </c>
      <c r="L16" s="11">
        <f>L$23/2.54</f>
        <v>0.39370078740157477</v>
      </c>
      <c r="M16" s="11">
        <f>M$24/25.4*1000</f>
        <v>39.370078740157481</v>
      </c>
      <c r="N16" s="11">
        <f>N$25/25.4*1000*1000</f>
        <v>39370.078740157478</v>
      </c>
      <c r="O16" s="11">
        <f>O$26*660*12</f>
        <v>7920</v>
      </c>
      <c r="P16" s="11">
        <f>P$27*16.5*12</f>
        <v>198</v>
      </c>
      <c r="Q16" s="12">
        <f>Q$28*299792458*(365*24*60*60+5*60*60+48*60+46)*1000/25.4</f>
        <v>3.7246174852220896E+17</v>
      </c>
      <c r="R16" s="13" t="s">
        <v>41</v>
      </c>
    </row>
    <row r="17" spans="1:18" x14ac:dyDescent="0.2">
      <c r="A17" s="173"/>
      <c r="B17" s="16" t="s">
        <v>42</v>
      </c>
      <c r="D17" s="17">
        <f>D$15/1000/12</f>
        <v>8.3333333333333331E-5</v>
      </c>
      <c r="E17" s="18">
        <f>E$16/12</f>
        <v>8.3333333333333329E-2</v>
      </c>
      <c r="F17" s="15">
        <v>1</v>
      </c>
      <c r="G17" s="18">
        <f>G$18*3</f>
        <v>3</v>
      </c>
      <c r="H17" s="18">
        <f>H$19*5280</f>
        <v>5280</v>
      </c>
      <c r="I17" s="18">
        <f>I$20*1852*100/2.54/12</f>
        <v>6076.1154855643044</v>
      </c>
      <c r="J17" s="18">
        <f>J$21/25.4/1000/12</f>
        <v>3.2808398950131231E-6</v>
      </c>
      <c r="K17" s="18">
        <f>K$22/25.4/12</f>
        <v>3.2808398950131233E-3</v>
      </c>
      <c r="L17" s="18">
        <f>L$23/2.54/12</f>
        <v>3.2808398950131233E-2</v>
      </c>
      <c r="M17" s="18">
        <f>M$24/25.4*1000/12</f>
        <v>3.2808398950131235</v>
      </c>
      <c r="N17" s="18">
        <f>N$25/25.4*1000*1000/12</f>
        <v>3280.8398950131232</v>
      </c>
      <c r="O17" s="18">
        <f>O$26*660</f>
        <v>660</v>
      </c>
      <c r="P17" s="18">
        <f>P$27*16.5</f>
        <v>16.5</v>
      </c>
      <c r="Q17" s="19">
        <f>Q$28*299792458*(365*24*60*60+5*60*60+48*60+46)*1000/25.4/12</f>
        <v>3.1038479043517412E+16</v>
      </c>
      <c r="R17" s="20" t="s">
        <v>42</v>
      </c>
    </row>
    <row r="18" spans="1:18" x14ac:dyDescent="0.2">
      <c r="A18" s="173"/>
      <c r="B18" s="16" t="s">
        <v>43</v>
      </c>
      <c r="D18" s="17">
        <f>D$15/1000/12/3</f>
        <v>2.7777777777777776E-5</v>
      </c>
      <c r="E18" s="18">
        <f>E$16/36</f>
        <v>2.7777777777777776E-2</v>
      </c>
      <c r="F18" s="18">
        <f>F$17/3</f>
        <v>0.33333333333333331</v>
      </c>
      <c r="G18" s="15">
        <v>1</v>
      </c>
      <c r="H18" s="18">
        <f>H$19*1760</f>
        <v>1760</v>
      </c>
      <c r="I18" s="18">
        <f>I$20*1852*100/2.54/36</f>
        <v>2025.371828521435</v>
      </c>
      <c r="J18" s="18">
        <f>J$21/25.4/1000/36</f>
        <v>1.0936132983377078E-6</v>
      </c>
      <c r="K18" s="18">
        <f>K$22/25.4/36</f>
        <v>1.0936132983377078E-3</v>
      </c>
      <c r="L18" s="18">
        <f>L$23/2.54/36</f>
        <v>1.0936132983377077E-2</v>
      </c>
      <c r="M18" s="18">
        <f>M$24/25.4*1000/36</f>
        <v>1.0936132983377078</v>
      </c>
      <c r="N18" s="18">
        <f>N$25/25.4*1000*1000/36</f>
        <v>1093.6132983377076</v>
      </c>
      <c r="O18" s="18">
        <f>O$26*220</f>
        <v>220</v>
      </c>
      <c r="P18" s="18">
        <f>P$27*16.5/3</f>
        <v>5.5</v>
      </c>
      <c r="Q18" s="19">
        <f>Q$28*299792458*(365*24*60*60+5*60*60+48*60+46)*1000/25.4/36</f>
        <v>1.0346159681172472E+16</v>
      </c>
      <c r="R18" s="20" t="s">
        <v>43</v>
      </c>
    </row>
    <row r="19" spans="1:18" x14ac:dyDescent="0.2">
      <c r="A19" s="173"/>
      <c r="B19" s="9" t="s">
        <v>44</v>
      </c>
      <c r="D19" s="14">
        <f>D$15/1000/12/5280</f>
        <v>1.5782828282828283E-8</v>
      </c>
      <c r="E19" s="11">
        <f>E$16/12/5280</f>
        <v>1.5782828282828283E-5</v>
      </c>
      <c r="F19" s="11">
        <f>F$17/5280</f>
        <v>1.8939393939393939E-4</v>
      </c>
      <c r="G19" s="11">
        <f>G$18/1760</f>
        <v>5.6818181818181815E-4</v>
      </c>
      <c r="H19" s="15">
        <v>1</v>
      </c>
      <c r="I19" s="11">
        <f>I$20*1852*100/2.54/12/5280</f>
        <v>1.1507794480235425</v>
      </c>
      <c r="J19" s="11">
        <f>J$21/25.4/1000/12/5280</f>
        <v>6.2137119223733395E-10</v>
      </c>
      <c r="K19" s="11">
        <f>K$22/25.4/12/5280</f>
        <v>6.2137119223733397E-7</v>
      </c>
      <c r="L19" s="11">
        <f>L$23/2.54/12/5280</f>
        <v>6.2137119223733393E-6</v>
      </c>
      <c r="M19" s="11">
        <f>M$24/25.4*1000/12/5280</f>
        <v>6.2137119223733403E-4</v>
      </c>
      <c r="N19" s="11">
        <f>N$25/25.4*1000*1000/12/5280</f>
        <v>0.62137119223733395</v>
      </c>
      <c r="O19" s="11">
        <f>O$26/8</f>
        <v>0.125</v>
      </c>
      <c r="P19" s="11">
        <f>P$27*16.5/5280</f>
        <v>3.1250000000000002E-3</v>
      </c>
      <c r="Q19" s="12">
        <f>Q$28*299792458*(365*24*60*60+5*60*60+48*60+46)*1000/25.4/12/5280</f>
        <v>5878499818847.9951</v>
      </c>
      <c r="R19" s="13" t="s">
        <v>44</v>
      </c>
    </row>
    <row r="20" spans="1:18" s="2" customFormat="1" ht="15.75" thickBot="1" x14ac:dyDescent="0.25">
      <c r="A20" s="169"/>
      <c r="B20" s="21" t="s">
        <v>45</v>
      </c>
      <c r="C20" s="22"/>
      <c r="D20" s="23">
        <f>D$15/1000*2.54/100/1852</f>
        <v>1.3714902807775378E-8</v>
      </c>
      <c r="E20" s="24">
        <f>E$16*2.54/100/1852</f>
        <v>1.3714902807775378E-5</v>
      </c>
      <c r="F20" s="24">
        <f>F$17*12*2.54/100/1852</f>
        <v>1.6457883369330455E-4</v>
      </c>
      <c r="G20" s="24">
        <f>G$18*36*2.54/100/1852</f>
        <v>4.9373650107991361E-4</v>
      </c>
      <c r="H20" s="24">
        <f>H$19*5280*12*2.54/100/1852</f>
        <v>0.86897624190064793</v>
      </c>
      <c r="I20" s="25">
        <v>1</v>
      </c>
      <c r="J20" s="24">
        <f>J$21/1852/1000/1000</f>
        <v>5.3995680345572359E-10</v>
      </c>
      <c r="K20" s="24">
        <f>K$22/1852/1000</f>
        <v>5.3995680345572355E-7</v>
      </c>
      <c r="L20" s="24">
        <f>L$23/1852/100</f>
        <v>5.3995680345572357E-6</v>
      </c>
      <c r="M20" s="24">
        <f>M$24/1852</f>
        <v>5.3995680345572358E-4</v>
      </c>
      <c r="N20" s="24">
        <f>N$25/1852*1000</f>
        <v>0.53995680345572361</v>
      </c>
      <c r="O20" s="24">
        <f>O$26*660*12*2.54/100/1852</f>
        <v>0.10862203023758099</v>
      </c>
      <c r="P20" s="24">
        <f>P$27*16.5*12*2.54/100/1852</f>
        <v>2.7155507559395251E-3</v>
      </c>
      <c r="Q20" s="26">
        <f>Q$28*299792458*(365*24*60*60+5*60*60+48*60+46)/1852</f>
        <v>5108276680596.1709</v>
      </c>
      <c r="R20" s="27" t="s">
        <v>45</v>
      </c>
    </row>
    <row r="21" spans="1:18" s="2" customFormat="1" ht="41.25" x14ac:dyDescent="0.2">
      <c r="A21" s="172" t="s">
        <v>46</v>
      </c>
      <c r="B21" s="28" t="s">
        <v>47</v>
      </c>
      <c r="D21" s="17">
        <f>D$15*25.4</f>
        <v>25.4</v>
      </c>
      <c r="E21" s="18">
        <f>E$16*25.4*1000</f>
        <v>25400</v>
      </c>
      <c r="F21" s="18">
        <f>F$17*12*1000*25.4</f>
        <v>304800</v>
      </c>
      <c r="G21" s="18">
        <f>G$18*36*1000*25.4</f>
        <v>914400</v>
      </c>
      <c r="H21" s="18">
        <f>H$19*5280*12*1000*25.4</f>
        <v>1609344000</v>
      </c>
      <c r="I21" s="18">
        <f>I$20*1852*1000*1000</f>
        <v>1852000000</v>
      </c>
      <c r="J21" s="15">
        <v>1</v>
      </c>
      <c r="K21" s="18">
        <f>K$22*1000</f>
        <v>1000</v>
      </c>
      <c r="L21" s="18">
        <f>L$23*10*1000</f>
        <v>10000</v>
      </c>
      <c r="M21" s="18">
        <f>M$24*1000*1000</f>
        <v>1000000</v>
      </c>
      <c r="N21" s="18">
        <f>N$25*1000*1000*1000</f>
        <v>1000000000</v>
      </c>
      <c r="O21" s="18">
        <f>O$26*660*12*1000*25.4</f>
        <v>201168000</v>
      </c>
      <c r="P21" s="18">
        <f>P$27*16.5*12*1000*25.4</f>
        <v>5029200</v>
      </c>
      <c r="Q21" s="19">
        <f>Q$28*299792458*(365*24*60*60+5*60*60+48*60+46)*1000*1000</f>
        <v>9.4605284124641083E+21</v>
      </c>
      <c r="R21" s="20" t="s">
        <v>47</v>
      </c>
    </row>
    <row r="22" spans="1:18" x14ac:dyDescent="0.2">
      <c r="A22" s="173"/>
      <c r="B22" s="16" t="s">
        <v>48</v>
      </c>
      <c r="D22" s="17">
        <f>D$15*25.4/1000</f>
        <v>2.5399999999999999E-2</v>
      </c>
      <c r="E22" s="18">
        <f>E$16*25.4</f>
        <v>25.4</v>
      </c>
      <c r="F22" s="18">
        <f>F$17*12*25.4</f>
        <v>304.79999999999995</v>
      </c>
      <c r="G22" s="18">
        <f>G$18*36*25.4</f>
        <v>914.4</v>
      </c>
      <c r="H22" s="18">
        <f>H$19*5280*12*25.4</f>
        <v>1609344</v>
      </c>
      <c r="I22" s="18">
        <f>I$20*1852*1000</f>
        <v>1852000</v>
      </c>
      <c r="J22" s="18">
        <f>J$21/1000</f>
        <v>1E-3</v>
      </c>
      <c r="K22" s="15">
        <v>1</v>
      </c>
      <c r="L22" s="18">
        <f>L$23*10</f>
        <v>10</v>
      </c>
      <c r="M22" s="18">
        <f>M$24*1000</f>
        <v>1000</v>
      </c>
      <c r="N22" s="18">
        <f>N$25*1000*1000</f>
        <v>1000000</v>
      </c>
      <c r="O22" s="18">
        <f>O$26*660*12*25.4</f>
        <v>201168</v>
      </c>
      <c r="P22" s="18">
        <f>P$27*16.5*12*25.4</f>
        <v>5029.2</v>
      </c>
      <c r="Q22" s="19">
        <f>Q$28*299792458*(365*24*60*60+5*60*60+48*60+46)*1000</f>
        <v>9.4605284124641075E+18</v>
      </c>
      <c r="R22" s="20" t="s">
        <v>48</v>
      </c>
    </row>
    <row r="23" spans="1:18" x14ac:dyDescent="0.2">
      <c r="A23" s="173"/>
      <c r="B23" s="9" t="s">
        <v>49</v>
      </c>
      <c r="D23" s="14">
        <f>D$15*25.4/1000/10</f>
        <v>2.5399999999999997E-3</v>
      </c>
      <c r="E23" s="11">
        <f>E$16*25.4/10</f>
        <v>2.54</v>
      </c>
      <c r="F23" s="11">
        <f>F$17*12*2.54</f>
        <v>30.48</v>
      </c>
      <c r="G23" s="11">
        <f>G$18*36*2.54</f>
        <v>91.44</v>
      </c>
      <c r="H23" s="11">
        <f>H$19*5280*12*2.54</f>
        <v>160934.39999999999</v>
      </c>
      <c r="I23" s="11">
        <f>I$20*1852*100</f>
        <v>185200</v>
      </c>
      <c r="J23" s="11">
        <f>J$21/1000/10</f>
        <v>1E-4</v>
      </c>
      <c r="K23" s="11">
        <f>K$22/10</f>
        <v>0.1</v>
      </c>
      <c r="L23" s="15">
        <v>1</v>
      </c>
      <c r="M23" s="11">
        <f>M$24*100</f>
        <v>100</v>
      </c>
      <c r="N23" s="11">
        <f>N$25*1000*100</f>
        <v>100000</v>
      </c>
      <c r="O23" s="11">
        <f>O$26*660*12*2.54</f>
        <v>20116.8</v>
      </c>
      <c r="P23" s="11">
        <f>P$27*16.5*12*2.54</f>
        <v>502.92</v>
      </c>
      <c r="Q23" s="12">
        <f>Q$28*299792458*(365*24*60*60+5*60*60+48*60+46)*100</f>
        <v>9.4605284124641075E+17</v>
      </c>
      <c r="R23" s="13" t="s">
        <v>49</v>
      </c>
    </row>
    <row r="24" spans="1:18" x14ac:dyDescent="0.2">
      <c r="A24" s="173"/>
      <c r="B24" s="9" t="s">
        <v>50</v>
      </c>
      <c r="D24" s="14">
        <f>D$15*25.4/1000/1000</f>
        <v>2.5399999999999997E-5</v>
      </c>
      <c r="E24" s="11">
        <f>E$16*25.4/1000</f>
        <v>2.5399999999999999E-2</v>
      </c>
      <c r="F24" s="11">
        <f>F$17*12*25.4/1000</f>
        <v>0.30479999999999996</v>
      </c>
      <c r="G24" s="11">
        <f>G$18*36*25.4/1000</f>
        <v>0.91439999999999999</v>
      </c>
      <c r="H24" s="11">
        <f>H$19*5280*12*25.4/1000</f>
        <v>1609.3440000000001</v>
      </c>
      <c r="I24" s="11">
        <f>I$20*1852</f>
        <v>1852</v>
      </c>
      <c r="J24" s="11">
        <f>J$21/1000/1000</f>
        <v>9.9999999999999995E-7</v>
      </c>
      <c r="K24" s="11">
        <f>K$22/1000</f>
        <v>1E-3</v>
      </c>
      <c r="L24" s="11">
        <f>L$23/100</f>
        <v>0.01</v>
      </c>
      <c r="M24" s="15">
        <v>1</v>
      </c>
      <c r="N24" s="11">
        <f>N$25*1000</f>
        <v>1000</v>
      </c>
      <c r="O24" s="11">
        <f>O$26*660*12*25.4/1000</f>
        <v>201.16800000000001</v>
      </c>
      <c r="P24" s="11">
        <f>P$27*16.5*12*25.4/1000</f>
        <v>5.0291999999999994</v>
      </c>
      <c r="Q24" s="12">
        <f>Q$28*299792458*(365*24*60*60+5*60*60+48*60+46)</f>
        <v>9460528412464108</v>
      </c>
      <c r="R24" s="13" t="s">
        <v>50</v>
      </c>
    </row>
    <row r="25" spans="1:18" s="2" customFormat="1" ht="15.75" thickBot="1" x14ac:dyDescent="0.25">
      <c r="A25" s="169"/>
      <c r="B25" s="29" t="s">
        <v>51</v>
      </c>
      <c r="C25" s="22"/>
      <c r="D25" s="30">
        <f>D$15*25.4/1000/1000/1000</f>
        <v>2.5399999999999996E-8</v>
      </c>
      <c r="E25" s="31">
        <f>E$16*25.4/1000/1000</f>
        <v>2.5399999999999997E-5</v>
      </c>
      <c r="F25" s="31">
        <f>F$17*12*25.4/1000/1000</f>
        <v>3.0479999999999998E-4</v>
      </c>
      <c r="G25" s="31">
        <f>G$18*36*25.4/1000/1000</f>
        <v>9.144E-4</v>
      </c>
      <c r="H25" s="31">
        <f>H$19*5280*12*25.4/1000/1000</f>
        <v>1.6093440000000001</v>
      </c>
      <c r="I25" s="31">
        <f>I$20*1852/1000</f>
        <v>1.8520000000000001</v>
      </c>
      <c r="J25" s="31">
        <f>J$21/1000/1000/1000</f>
        <v>9.9999999999999986E-10</v>
      </c>
      <c r="K25" s="31">
        <f>K$22/1000/1000</f>
        <v>9.9999999999999995E-7</v>
      </c>
      <c r="L25" s="31">
        <f>L$23/100/1000</f>
        <v>1.0000000000000001E-5</v>
      </c>
      <c r="M25" s="31">
        <f>M$24/1000</f>
        <v>1E-3</v>
      </c>
      <c r="N25" s="25">
        <v>1</v>
      </c>
      <c r="O25" s="31">
        <f>O$26*660*12*25.4/1000/1000</f>
        <v>0.20116800000000001</v>
      </c>
      <c r="P25" s="31">
        <f>P$27*16.5*12*25.4/1000/1000</f>
        <v>5.0291999999999993E-3</v>
      </c>
      <c r="Q25" s="32">
        <f>Q$28*299792458*(365*24*60*60+5*60*60+48*60+46)/1000</f>
        <v>9460528412464.1074</v>
      </c>
      <c r="R25" s="33" t="s">
        <v>51</v>
      </c>
    </row>
    <row r="26" spans="1:18" x14ac:dyDescent="0.2">
      <c r="A26" s="184"/>
      <c r="B26" s="16" t="s">
        <v>52</v>
      </c>
      <c r="D26" s="17">
        <f>D$15/1000/12/660</f>
        <v>1.2626262626262626E-7</v>
      </c>
      <c r="E26" s="18">
        <f>E$16/12/660</f>
        <v>1.2626262626262626E-4</v>
      </c>
      <c r="F26" s="18">
        <f>F$17/660</f>
        <v>1.5151515151515152E-3</v>
      </c>
      <c r="G26" s="18">
        <f>G$18/220</f>
        <v>4.5454545454545452E-3</v>
      </c>
      <c r="H26" s="18">
        <f>H$19*8</f>
        <v>8</v>
      </c>
      <c r="I26" s="18">
        <f>I$20*1852*100/2.54/12/660</f>
        <v>9.2062355841883399</v>
      </c>
      <c r="J26" s="18">
        <f>J$21/25.4/1000/12/660</f>
        <v>4.9709695378986716E-9</v>
      </c>
      <c r="K26" s="18">
        <f>K$22/25.4/12/660</f>
        <v>4.9709695378986717E-6</v>
      </c>
      <c r="L26" s="18">
        <f>L$23/2.54/12/660</f>
        <v>4.9709695378986714E-5</v>
      </c>
      <c r="M26" s="18">
        <f>M$24/25.4*1000/12/660</f>
        <v>4.9709695378986722E-3</v>
      </c>
      <c r="N26" s="18">
        <f>N$25/25.4*1000*1000/12/660</f>
        <v>4.9709695378986716</v>
      </c>
      <c r="O26" s="15">
        <v>1</v>
      </c>
      <c r="P26" s="18">
        <f>P$27/40</f>
        <v>2.5000000000000001E-2</v>
      </c>
      <c r="Q26" s="19">
        <f>Q$28*299792458*(365*24*60*60+5*60*60+48*60+46)*1000/25.4/12/5280*8</f>
        <v>47027998550783.961</v>
      </c>
      <c r="R26" s="20" t="s">
        <v>52</v>
      </c>
    </row>
    <row r="27" spans="1:18" x14ac:dyDescent="0.2">
      <c r="A27" s="184"/>
      <c r="B27" s="9" t="s">
        <v>53</v>
      </c>
      <c r="D27" s="14">
        <f>D$15/1000/12/16.5</f>
        <v>5.0505050505050507E-6</v>
      </c>
      <c r="E27" s="11">
        <f>E$16/12/16.5</f>
        <v>5.0505050505050501E-3</v>
      </c>
      <c r="F27" s="11">
        <f>F$17/16.5</f>
        <v>6.0606060606060608E-2</v>
      </c>
      <c r="G27" s="11">
        <f>G$18*3/16.5</f>
        <v>0.18181818181818182</v>
      </c>
      <c r="H27" s="11">
        <f>H$19*5280/16.5</f>
        <v>320</v>
      </c>
      <c r="I27" s="11">
        <f>I$20*1852*100/2.54/12/16.5</f>
        <v>368.24942336753361</v>
      </c>
      <c r="J27" s="11">
        <f>J$21/25.4/1000/12/16.5</f>
        <v>1.9883878151594685E-7</v>
      </c>
      <c r="K27" s="11">
        <f>K$22/25.4/12/16.5</f>
        <v>1.9883878151594686E-4</v>
      </c>
      <c r="L27" s="11">
        <f>L17/16.5</f>
        <v>1.9883878151594689E-3</v>
      </c>
      <c r="M27" s="11">
        <f>M$24/25.4*1000/12/16.5</f>
        <v>0.19883878151594689</v>
      </c>
      <c r="N27" s="11">
        <f>N$25/25.4*1000*1000/12/16.5</f>
        <v>198.83878151594686</v>
      </c>
      <c r="O27" s="11">
        <f>O$26*40</f>
        <v>40</v>
      </c>
      <c r="P27" s="15">
        <v>1</v>
      </c>
      <c r="Q27" s="19">
        <f>Q$28*299792458*(365*24*60*60+5*60*60+48*60+46)*1000/25.4/12/16.5</f>
        <v>1881119942031358.2</v>
      </c>
      <c r="R27" s="13" t="s">
        <v>53</v>
      </c>
    </row>
    <row r="28" spans="1:18" s="2" customFormat="1" ht="15.75" thickBot="1" x14ac:dyDescent="0.25">
      <c r="A28" s="185"/>
      <c r="B28" s="21" t="s">
        <v>54</v>
      </c>
      <c r="C28" s="22"/>
      <c r="D28" s="23">
        <f>D$15*25.4/1000/1000/299792458/(365*24*60*60+5*60*60+48*60+46)</f>
        <v>2.6848394606093956E-21</v>
      </c>
      <c r="E28" s="23">
        <f>E$16*25.4/1000/299792458/(365*24*60*60+5*60*60+48*60+46)</f>
        <v>2.6848394606093956E-18</v>
      </c>
      <c r="F28" s="24">
        <f>F$17*12*25.4/1000/299792458/(365*24*60*60+5*60*60+48*60+46)</f>
        <v>3.2218073527312743E-17</v>
      </c>
      <c r="G28" s="24">
        <f>G$18*36*25.4/1000/299792458/(365*24*60*60+5*60*60+48*60+46)</f>
        <v>9.6654220581938247E-17</v>
      </c>
      <c r="H28" s="24">
        <f>H$19*5280*12*25.4/1000/299792458/(365*24*60*60+5*60*60+48*60+46)</f>
        <v>1.7011142822421135E-13</v>
      </c>
      <c r="I28" s="24">
        <f>I$20*1852/299792458/(365*24*60*60+5*60*60+48*60+46)</f>
        <v>1.9576073547435437E-13</v>
      </c>
      <c r="J28" s="24">
        <f>J$21/1000/1000/299792458/(365*24*60*60+5*60*60+48*60+46)</f>
        <v>1.0570234096887386E-22</v>
      </c>
      <c r="K28" s="24">
        <f>K$22/1000/299792458/(365*24*60*60+5*60*60+48*60+46)</f>
        <v>1.0570234096887386E-19</v>
      </c>
      <c r="L28" s="24">
        <f>L$23/100/299792458/(365*24*60*60+5*60*60+48*60+46)</f>
        <v>1.0570234096887387E-18</v>
      </c>
      <c r="M28" s="24">
        <f>M$24/299792458/(365*24*60*60+5*60*60+48*60+46)</f>
        <v>1.0570234096887386E-16</v>
      </c>
      <c r="N28" s="24">
        <f>N$25*1000/299792458/(365*24*60*60+5*60*60+48*60+46)</f>
        <v>1.0570234096887385E-13</v>
      </c>
      <c r="O28" s="24">
        <f>O$26*660*12*25.4/1000/299792458/(365*24*60*60+5*60*60+48*60+46)</f>
        <v>2.1263928528026419E-14</v>
      </c>
      <c r="P28" s="24">
        <f>P$27*16.5*12*25.4/1000/299792458/(365*24*60*60+5*60*60+48*60+46)</f>
        <v>5.3159821320066027E-16</v>
      </c>
      <c r="Q28" s="34">
        <v>1</v>
      </c>
      <c r="R28" s="27" t="s">
        <v>54</v>
      </c>
    </row>
    <row r="29" spans="1:18" x14ac:dyDescent="0.2">
      <c r="A29" s="184"/>
      <c r="D29" s="35" t="s">
        <v>55</v>
      </c>
      <c r="E29" s="16"/>
    </row>
    <row r="30" spans="1:18" x14ac:dyDescent="0.2">
      <c r="A30" s="184"/>
      <c r="D30" s="1" t="s">
        <v>56</v>
      </c>
      <c r="E30" s="16"/>
    </row>
    <row r="31" spans="1:18" ht="15.75" thickBot="1" x14ac:dyDescent="0.25">
      <c r="A31" s="184"/>
      <c r="D31" s="35"/>
      <c r="E31" s="35"/>
      <c r="J31" s="16"/>
    </row>
    <row r="32" spans="1:18" s="6" customFormat="1" ht="47.25" thickTop="1" thickBot="1" x14ac:dyDescent="0.3">
      <c r="A32" s="186"/>
      <c r="B32" s="78" t="s">
        <v>57</v>
      </c>
      <c r="C32" s="36"/>
      <c r="D32" s="37" t="s">
        <v>58</v>
      </c>
      <c r="E32" s="37" t="s">
        <v>59</v>
      </c>
      <c r="F32" s="37" t="s">
        <v>60</v>
      </c>
      <c r="G32" s="37" t="s">
        <v>61</v>
      </c>
      <c r="H32" s="37" t="s">
        <v>62</v>
      </c>
      <c r="I32" s="37" t="s">
        <v>63</v>
      </c>
      <c r="J32" s="37" t="s">
        <v>64</v>
      </c>
      <c r="K32" s="37" t="s">
        <v>65</v>
      </c>
      <c r="L32" s="37" t="s">
        <v>66</v>
      </c>
      <c r="M32" s="37" t="s">
        <v>67</v>
      </c>
      <c r="N32" s="37" t="s">
        <v>68</v>
      </c>
      <c r="O32" s="38" t="s">
        <v>69</v>
      </c>
      <c r="P32" s="79" t="s">
        <v>57</v>
      </c>
      <c r="R32" s="5"/>
    </row>
    <row r="33" spans="1:36" ht="50.25" x14ac:dyDescent="0.2">
      <c r="A33" s="173" t="s">
        <v>39</v>
      </c>
      <c r="B33" s="9" t="s">
        <v>70</v>
      </c>
      <c r="D33" s="15">
        <v>1</v>
      </c>
      <c r="E33" s="11">
        <f>E$34*1000000</f>
        <v>1000000</v>
      </c>
      <c r="F33" s="11">
        <f>F$35*(12*1000)^2</f>
        <v>144000000</v>
      </c>
      <c r="G33" s="11">
        <f>G$36*(3*12*1000)^2</f>
        <v>1296000000</v>
      </c>
      <c r="H33" s="11">
        <f>H$37*(5280*12*1000)^2</f>
        <v>4014489600000000</v>
      </c>
      <c r="I33" s="11">
        <f>I$38/(0.999998)^2*43560*(12*1000)^2</f>
        <v>6272665090635.2705</v>
      </c>
      <c r="J33" s="11">
        <f>J$39/(25.4)^2</f>
        <v>1.5500031000062E-3</v>
      </c>
      <c r="K33" s="11">
        <f>K$40*(1000/25.4)^2</f>
        <v>1550.0031000062002</v>
      </c>
      <c r="L33" s="11">
        <f>L$41*(1000/2.54)^2</f>
        <v>155000.31000062</v>
      </c>
      <c r="M33" s="11">
        <f>M$42*(1000*1000/25.4)^2</f>
        <v>1550003100.0062003</v>
      </c>
      <c r="N33" s="11">
        <f>N$43*(1000*1000*1000/25.4)^2</f>
        <v>1550003100006200.5</v>
      </c>
      <c r="O33" s="12">
        <f>O$44*10000*(1000*1000/25.4)^2</f>
        <v>15500031000062.004</v>
      </c>
      <c r="P33" s="39" t="s">
        <v>70</v>
      </c>
    </row>
    <row r="34" spans="1:36" x14ac:dyDescent="0.2">
      <c r="A34" s="173"/>
      <c r="B34" s="9" t="s">
        <v>71</v>
      </c>
      <c r="D34" s="11">
        <f>D$33/1000000</f>
        <v>9.9999999999999995E-7</v>
      </c>
      <c r="E34" s="15">
        <v>1</v>
      </c>
      <c r="F34" s="11">
        <f>F$35*(12)^2</f>
        <v>144</v>
      </c>
      <c r="G34" s="11">
        <f>G$36*(3*12)^2</f>
        <v>1296</v>
      </c>
      <c r="H34" s="11">
        <f>H$37*(5280*12)^2</f>
        <v>4014489600</v>
      </c>
      <c r="I34" s="11">
        <f>I$38/(0.999998)^2*43560*(12)^2</f>
        <v>6272665.0906352708</v>
      </c>
      <c r="J34" s="11">
        <f>J$39/(25.4*1000)^2</f>
        <v>1.5500031000062001E-9</v>
      </c>
      <c r="K34" s="11">
        <f>K$40/(25.4)^2</f>
        <v>1.5500031000062E-3</v>
      </c>
      <c r="L34" s="11">
        <f>L$41/(2.54)^2</f>
        <v>0.15500031000062001</v>
      </c>
      <c r="M34" s="11">
        <f>M$42*(1000/25.4)^2</f>
        <v>1550.0031000062002</v>
      </c>
      <c r="N34" s="11">
        <f>N$43*(1000*1000/25.4)^2</f>
        <v>1550003100.0062003</v>
      </c>
      <c r="O34" s="12">
        <f>O$44*10000*(1000/25.4)^2</f>
        <v>15500031.000062002</v>
      </c>
      <c r="P34" s="39" t="s">
        <v>72</v>
      </c>
    </row>
    <row r="35" spans="1:36" x14ac:dyDescent="0.2">
      <c r="A35" s="173"/>
      <c r="B35" s="1" t="s">
        <v>73</v>
      </c>
      <c r="D35" s="18">
        <f>D$33/(1000*12)^2</f>
        <v>6.9444444444444443E-9</v>
      </c>
      <c r="E35" s="18">
        <f>E$34/144</f>
        <v>6.9444444444444441E-3</v>
      </c>
      <c r="F35" s="15">
        <v>1</v>
      </c>
      <c r="G35" s="18">
        <f>G$36*(3)^2</f>
        <v>9</v>
      </c>
      <c r="H35" s="18">
        <f>H$37*(5280)^2</f>
        <v>27878400</v>
      </c>
      <c r="I35" s="18">
        <f>I$38/(0.999998)^2*43560</f>
        <v>43560.174240522712</v>
      </c>
      <c r="J35" s="18">
        <f>J$39/(25.4*1000*12)^2</f>
        <v>1.0763910416709723E-11</v>
      </c>
      <c r="K35" s="18">
        <f>K$40/(25.4*12)^2</f>
        <v>1.0763910416709725E-5</v>
      </c>
      <c r="L35" s="18">
        <f>L$41/(2.54*12)^2</f>
        <v>1.0763910416709723E-3</v>
      </c>
      <c r="M35" s="18">
        <f>M$42*(1000/25.4/12)^2</f>
        <v>10.763910416709724</v>
      </c>
      <c r="N35" s="18">
        <f>N$43*(1000*1000/25.4/12)^2</f>
        <v>10763910.416709725</v>
      </c>
      <c r="O35" s="40">
        <f>O$44*10000*(1000/25.4/12)^2</f>
        <v>107639.10416709723</v>
      </c>
      <c r="P35" s="41" t="s">
        <v>73</v>
      </c>
    </row>
    <row r="36" spans="1:36" x14ac:dyDescent="0.2">
      <c r="A36" s="173"/>
      <c r="B36" s="1" t="s">
        <v>74</v>
      </c>
      <c r="D36" s="18">
        <f>D$33/(1000*12*3)^2</f>
        <v>7.7160493827160496E-10</v>
      </c>
      <c r="E36" s="18">
        <f>E$34/(12*3)^2</f>
        <v>7.716049382716049E-4</v>
      </c>
      <c r="F36" s="18">
        <f>F$35/(3)^2</f>
        <v>0.1111111111111111</v>
      </c>
      <c r="G36" s="15">
        <v>1</v>
      </c>
      <c r="H36" s="18">
        <f>H$37*(1760)^2</f>
        <v>3097600</v>
      </c>
      <c r="I36" s="18">
        <f>I$38/(0.999998)^2/640*(1760)^2</f>
        <v>4840.0193600580797</v>
      </c>
      <c r="J36" s="18">
        <f>J$39/(25.4*1000*36)^2</f>
        <v>1.1959900463010802E-12</v>
      </c>
      <c r="K36" s="18">
        <f>K$40/(25.4*36)^2</f>
        <v>1.1959900463010804E-6</v>
      </c>
      <c r="L36" s="18">
        <f>L$41/(2.54*36)^2</f>
        <v>1.1959900463010801E-4</v>
      </c>
      <c r="M36" s="18">
        <f>M$42*(1000/25.4/36)^2</f>
        <v>1.1959900463010804</v>
      </c>
      <c r="N36" s="18">
        <f>N$43*(1000*1000/25.4/36)^2</f>
        <v>1195990.0463010804</v>
      </c>
      <c r="O36" s="40">
        <f>O$44*10000*(1000/25.4/36)^2</f>
        <v>11959.900463010805</v>
      </c>
      <c r="P36" s="41" t="s">
        <v>74</v>
      </c>
    </row>
    <row r="37" spans="1:36" x14ac:dyDescent="0.2">
      <c r="A37" s="173"/>
      <c r="B37" s="9" t="s">
        <v>75</v>
      </c>
      <c r="D37" s="11">
        <f>D$33/(1000*12*5280)^2</f>
        <v>2.4909766860524434E-16</v>
      </c>
      <c r="E37" s="11">
        <f>E$34/(12*5280)^2</f>
        <v>2.4909766860524435E-10</v>
      </c>
      <c r="F37" s="11">
        <f>F$35/(5280)^2</f>
        <v>3.5870064279155189E-8</v>
      </c>
      <c r="G37" s="11">
        <f>G$36/(1760)^2</f>
        <v>3.2283057851239672E-7</v>
      </c>
      <c r="H37" s="15">
        <v>1</v>
      </c>
      <c r="I37" s="11">
        <f>I$38/(0.999998)^2/640</f>
        <v>1.5625062500187498E-3</v>
      </c>
      <c r="J37" s="11">
        <f>J$39/(25.4*1000*12*5280)^2</f>
        <v>3.8610215854244584E-19</v>
      </c>
      <c r="K37" s="11">
        <f>K$40/(25.4*12*5280)^2</f>
        <v>3.8610215854244597E-13</v>
      </c>
      <c r="L37" s="11">
        <f>L$41/(2.54*12*5280)^2</f>
        <v>3.861021585424459E-11</v>
      </c>
      <c r="M37" s="11">
        <f>M$42*(1000/25.4/12/5280)^2</f>
        <v>3.8610215854244592E-7</v>
      </c>
      <c r="N37" s="11">
        <f>N$43*(1000*1000/25.4/12/5280)^2</f>
        <v>0.38610215854244595</v>
      </c>
      <c r="O37" s="12">
        <f>O$44*10000*(1000/25.4/12/5280)^2</f>
        <v>3.8610215854244594E-3</v>
      </c>
      <c r="P37" s="39" t="s">
        <v>75</v>
      </c>
    </row>
    <row r="38" spans="1:36" s="2" customFormat="1" ht="15.75" thickBot="1" x14ac:dyDescent="0.25">
      <c r="A38" s="169"/>
      <c r="B38" s="21" t="s">
        <v>76</v>
      </c>
      <c r="C38" s="22"/>
      <c r="D38" s="24">
        <f>D$33/(1000*12*5280)^2*640*(0.999998)^2</f>
        <v>1.5942187021796244E-13</v>
      </c>
      <c r="E38" s="24">
        <f>E$34/(12*5280)^2*640*(0.999998)^2</f>
        <v>1.5942187021796245E-7</v>
      </c>
      <c r="F38" s="24">
        <f>F$35/43560*(0.999998)^2</f>
        <v>2.2956749311386595E-5</v>
      </c>
      <c r="G38" s="24">
        <f>G$36/(1760)^2*640*(0.999998)^2</f>
        <v>2.0661074380247938E-4</v>
      </c>
      <c r="H38" s="24">
        <f>H$37*640*(0.999998)^2</f>
        <v>639.9974400025601</v>
      </c>
      <c r="I38" s="25">
        <v>1</v>
      </c>
      <c r="J38" s="24">
        <f>J$39/(25.4*1000*12)^2/43560*(0.999998)^2</f>
        <v>2.4710439304662791E-16</v>
      </c>
      <c r="K38" s="24">
        <f>K$40/(25.4*12)^2/43560*(0.999998)^2</f>
        <v>2.4710439304662797E-10</v>
      </c>
      <c r="L38" s="24">
        <f>L$41/(2.54*12)^2/43560*(0.999998)^2</f>
        <v>2.4710439304662794E-8</v>
      </c>
      <c r="M38" s="24">
        <f>M$42*(1000/25.4/12)^2/43560*(0.999998)^2</f>
        <v>2.4710439304662796E-4</v>
      </c>
      <c r="N38" s="24">
        <f>N$43*(1000*1000/25.4/12)^2/43560*(0.999998)^2</f>
        <v>247.10439304662796</v>
      </c>
      <c r="O38" s="26">
        <f>O$44*10000*(1000/25.4/12)^2/43560*(0.999998)^2</f>
        <v>2.4710439304662795</v>
      </c>
      <c r="P38" s="42" t="s">
        <v>76</v>
      </c>
    </row>
    <row r="39" spans="1:36" ht="41.25" x14ac:dyDescent="0.2">
      <c r="A39" s="172" t="s">
        <v>46</v>
      </c>
      <c r="B39" s="1" t="s">
        <v>77</v>
      </c>
      <c r="D39" s="18">
        <f>D$33*(25.4)^2</f>
        <v>645.16</v>
      </c>
      <c r="E39" s="18">
        <f>E$34*(25.4)^2*1000000</f>
        <v>645160000</v>
      </c>
      <c r="F39" s="18">
        <f>F$35*(12*25.4*1000)^2</f>
        <v>92903039999.999969</v>
      </c>
      <c r="G39" s="18">
        <f>G$36*(25.4*3*12*1000)^2</f>
        <v>836127359999.99976</v>
      </c>
      <c r="H39" s="18">
        <f>H$37*(25.4*5280*12*1000)^2</f>
        <v>2.589988110336E+18</v>
      </c>
      <c r="I39" s="18">
        <f>I$38/(0.999998)^2*43560*(25.4*12*1000)^2</f>
        <v>4046872609874250</v>
      </c>
      <c r="J39" s="15">
        <v>1</v>
      </c>
      <c r="K39" s="18">
        <f>K$40*(1000)^2</f>
        <v>1000000</v>
      </c>
      <c r="L39" s="18">
        <f>L$41*(10*1000)^2</f>
        <v>100000000</v>
      </c>
      <c r="M39" s="18">
        <f>M$42*(1000*1000)^2</f>
        <v>1000000000000</v>
      </c>
      <c r="N39" s="18">
        <f>N$43*(1000*1000*1000)^2</f>
        <v>1E+18</v>
      </c>
      <c r="O39" s="40">
        <f>O$44*10000*(1000*1000)^2</f>
        <v>1E+16</v>
      </c>
      <c r="P39" s="41" t="s">
        <v>77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A40" s="168"/>
      <c r="B40" s="1" t="s">
        <v>78</v>
      </c>
      <c r="D40" s="18">
        <f>D$33*(25.4/1000)^2</f>
        <v>6.4515999999999998E-4</v>
      </c>
      <c r="E40" s="18">
        <f>E$34*(25.4)^2</f>
        <v>645.16</v>
      </c>
      <c r="F40" s="18">
        <f>F$35*(12*25.4)^2</f>
        <v>92903.039999999979</v>
      </c>
      <c r="G40" s="18">
        <f>G$36*(25.4*3*12)^2</f>
        <v>836127.35999999975</v>
      </c>
      <c r="H40" s="18">
        <f>H$37*(25.4*5280*12)^2</f>
        <v>2589988110336</v>
      </c>
      <c r="I40" s="18">
        <f>I$38/(0.999998)^2*43560*(25.4*12)^2</f>
        <v>4046872609.8742504</v>
      </c>
      <c r="J40" s="18">
        <f>J$39/(1000)^2</f>
        <v>9.9999999999999995E-7</v>
      </c>
      <c r="K40" s="15">
        <v>1</v>
      </c>
      <c r="L40" s="18">
        <f>L$41*(10)^2</f>
        <v>100</v>
      </c>
      <c r="M40" s="18">
        <f>M$42*(1000)^2</f>
        <v>1000000</v>
      </c>
      <c r="N40" s="18">
        <f>N$43*(1000*1000)^2</f>
        <v>1000000000000</v>
      </c>
      <c r="O40" s="40">
        <f>O$44*10000*(1000)^2</f>
        <v>10000000000</v>
      </c>
      <c r="P40" s="41" t="s">
        <v>78</v>
      </c>
    </row>
    <row r="41" spans="1:36" x14ac:dyDescent="0.2">
      <c r="A41" s="168"/>
      <c r="B41" s="9" t="s">
        <v>79</v>
      </c>
      <c r="D41" s="11">
        <f>D$33*(25.4/10000)^2</f>
        <v>6.4515999999999985E-6</v>
      </c>
      <c r="E41" s="11">
        <f>E$34*(25.4)^2/100</f>
        <v>6.4516</v>
      </c>
      <c r="F41" s="11">
        <f>F$35*(12*25.4/10)^2</f>
        <v>929.03039999999976</v>
      </c>
      <c r="G41" s="11">
        <f>G$36*(25.4*3*12/10)^2</f>
        <v>8361.2735999999968</v>
      </c>
      <c r="H41" s="11">
        <f>H$37*(25.4*5280*12/10)^2</f>
        <v>25899881103.359997</v>
      </c>
      <c r="I41" s="11">
        <f>I$38/(0.999998)^2*43560*(25.4*12/10)^2</f>
        <v>40468726.0987425</v>
      </c>
      <c r="J41" s="11">
        <f>J$39/(1000*10)^2</f>
        <v>1E-8</v>
      </c>
      <c r="K41" s="11">
        <f>K$40/(10)^2</f>
        <v>0.01</v>
      </c>
      <c r="L41" s="15">
        <v>1</v>
      </c>
      <c r="M41" s="11">
        <f>M$42*(100)^2</f>
        <v>10000</v>
      </c>
      <c r="N41" s="11">
        <f>N$43*(1000*100)^2</f>
        <v>10000000000</v>
      </c>
      <c r="O41" s="12">
        <f>O$44*10000*(100)^2</f>
        <v>100000000</v>
      </c>
      <c r="P41" s="39" t="s">
        <v>79</v>
      </c>
    </row>
    <row r="42" spans="1:36" x14ac:dyDescent="0.2">
      <c r="A42" s="168"/>
      <c r="B42" s="9" t="s">
        <v>80</v>
      </c>
      <c r="D42" s="11">
        <f>D$33*(25.4/1000/1000)^2</f>
        <v>6.4515999999999987E-10</v>
      </c>
      <c r="E42" s="11">
        <f>E$34*(25.4)^2/1000000</f>
        <v>6.4515999999999998E-4</v>
      </c>
      <c r="F42" s="11">
        <f>F$35*(12*25.4/1000)^2</f>
        <v>9.2903039999999978E-2</v>
      </c>
      <c r="G42" s="11">
        <f>G$36*(25.4*3*12/1000)^2</f>
        <v>0.83612735999999976</v>
      </c>
      <c r="H42" s="11">
        <f>H$37*(25.4*5280*12/1000)^2</f>
        <v>2589988.1103360001</v>
      </c>
      <c r="I42" s="11">
        <f>I$38/(0.999998)^2*43560*(25.4*12/1000)^2</f>
        <v>4046.8726098742504</v>
      </c>
      <c r="J42" s="11">
        <f>J$39/(1000*1000)^2</f>
        <v>9.9999999999999998E-13</v>
      </c>
      <c r="K42" s="11">
        <f>K$40/(1000)^2</f>
        <v>9.9999999999999995E-7</v>
      </c>
      <c r="L42" s="11">
        <f>L$41/(100)^2</f>
        <v>1E-4</v>
      </c>
      <c r="M42" s="15">
        <v>1</v>
      </c>
      <c r="N42" s="11">
        <f>N$43*(1000)^2</f>
        <v>1000000</v>
      </c>
      <c r="O42" s="12">
        <f>O$44*10000</f>
        <v>10000</v>
      </c>
      <c r="P42" s="39" t="s">
        <v>80</v>
      </c>
    </row>
    <row r="43" spans="1:36" x14ac:dyDescent="0.2">
      <c r="A43" s="168"/>
      <c r="B43" s="1" t="s">
        <v>81</v>
      </c>
      <c r="D43" s="18">
        <f>D$33*(25.4/1000/1000/1000)^2</f>
        <v>6.4515999999999982E-16</v>
      </c>
      <c r="E43" s="18">
        <f>E$34*(25.4)^2/1000000^2</f>
        <v>6.4515999999999997E-10</v>
      </c>
      <c r="F43" s="18">
        <f>F$35*(12*25.4/1000/1000)^2</f>
        <v>9.2903039999999994E-8</v>
      </c>
      <c r="G43" s="18">
        <f>G$36*(25.4*3*12/1000/1000)^2</f>
        <v>8.3612735999999975E-7</v>
      </c>
      <c r="H43" s="18">
        <f>H$37*(25.4*5280*12/1000/1000)^2</f>
        <v>2.5899881103360003</v>
      </c>
      <c r="I43" s="18">
        <f>I$38/(0.999998)^2*43560*(25.4*12/1000/1000)^2</f>
        <v>4.0468726098742509E-3</v>
      </c>
      <c r="J43" s="18">
        <f>J$39/(1000*1000*1000)^2</f>
        <v>1.0000000000000001E-18</v>
      </c>
      <c r="K43" s="18">
        <f>K$40/(1000*1000)^2</f>
        <v>9.9999999999999998E-13</v>
      </c>
      <c r="L43" s="18">
        <f>L$41/(100*1000)^2</f>
        <v>1E-10</v>
      </c>
      <c r="M43" s="18">
        <f>M$42/(1000)^2</f>
        <v>9.9999999999999995E-7</v>
      </c>
      <c r="N43" s="15">
        <v>1</v>
      </c>
      <c r="O43" s="40">
        <f>O$44/100</f>
        <v>0.01</v>
      </c>
      <c r="P43" s="41" t="s">
        <v>81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2" customFormat="1" ht="15.75" thickBot="1" x14ac:dyDescent="0.25">
      <c r="A44" s="169"/>
      <c r="B44" s="22" t="s">
        <v>82</v>
      </c>
      <c r="C44" s="22"/>
      <c r="D44" s="31">
        <f>D$33*(25.4/1000/1000)^2/10000</f>
        <v>6.4515999999999987E-14</v>
      </c>
      <c r="E44" s="31">
        <f>E$34*(25.4)^2/1000000/10000</f>
        <v>6.4515999999999994E-8</v>
      </c>
      <c r="F44" s="31">
        <f>F$35*(12*25.4/1000)^2/10000</f>
        <v>9.2903039999999974E-6</v>
      </c>
      <c r="G44" s="31">
        <f>G$36*(25.4*3*12/1000)^2/10000</f>
        <v>8.3612735999999971E-5</v>
      </c>
      <c r="H44" s="31">
        <f>H$37*(25.4*5280*12/1000)^2/10000</f>
        <v>258.99881103360002</v>
      </c>
      <c r="I44" s="31">
        <f>I$38/(0.999998)^2*43560*(25.4*12/1000)^2/10000</f>
        <v>0.40468726098742502</v>
      </c>
      <c r="J44" s="31">
        <f>J$39/(1000*1000)^2/10000</f>
        <v>9.9999999999999998E-17</v>
      </c>
      <c r="K44" s="31">
        <f>K$40/(1000)^2/10000</f>
        <v>9.9999999999999991E-11</v>
      </c>
      <c r="L44" s="31">
        <f>L$41/(100)^2/10000</f>
        <v>1E-8</v>
      </c>
      <c r="M44" s="31">
        <f>M$42/10000</f>
        <v>1E-4</v>
      </c>
      <c r="N44" s="31">
        <f>N$43*100</f>
        <v>100</v>
      </c>
      <c r="O44" s="34">
        <v>1</v>
      </c>
      <c r="P44" s="43" t="s">
        <v>82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">
      <c r="A45" s="184"/>
      <c r="D45" s="1" t="s">
        <v>83</v>
      </c>
    </row>
    <row r="46" spans="1:36" x14ac:dyDescent="0.2">
      <c r="A46" s="184"/>
      <c r="D46" s="1" t="s">
        <v>84</v>
      </c>
      <c r="U46" s="2"/>
      <c r="V46" s="2"/>
    </row>
    <row r="47" spans="1:36" x14ac:dyDescent="0.2">
      <c r="A47" s="184"/>
      <c r="D47" s="1" t="s">
        <v>85</v>
      </c>
    </row>
    <row r="48" spans="1:36" x14ac:dyDescent="0.2">
      <c r="A48" s="184"/>
      <c r="D48" s="1" t="s">
        <v>86</v>
      </c>
    </row>
    <row r="49" spans="1:40" ht="15.75" thickBot="1" x14ac:dyDescent="0.25">
      <c r="A49" s="184"/>
    </row>
    <row r="50" spans="1:40" s="6" customFormat="1" ht="46.5" thickTop="1" x14ac:dyDescent="0.25">
      <c r="A50" s="183"/>
      <c r="B50" s="5" t="s">
        <v>87</v>
      </c>
      <c r="D50" s="7" t="s">
        <v>88</v>
      </c>
      <c r="E50" s="7" t="s">
        <v>89</v>
      </c>
      <c r="F50" s="7" t="s">
        <v>90</v>
      </c>
      <c r="G50" s="7" t="s">
        <v>91</v>
      </c>
      <c r="H50" s="7" t="s">
        <v>92</v>
      </c>
      <c r="I50" s="7" t="s">
        <v>93</v>
      </c>
      <c r="J50" s="7" t="s">
        <v>94</v>
      </c>
      <c r="K50" s="7" t="s">
        <v>95</v>
      </c>
      <c r="L50" s="7" t="s">
        <v>96</v>
      </c>
      <c r="M50" s="7" t="s">
        <v>97</v>
      </c>
      <c r="N50" s="7" t="s">
        <v>98</v>
      </c>
      <c r="O50" s="7" t="s">
        <v>99</v>
      </c>
      <c r="P50" s="7" t="s">
        <v>100</v>
      </c>
      <c r="Q50" s="7" t="s">
        <v>101</v>
      </c>
      <c r="R50" s="7" t="s">
        <v>102</v>
      </c>
      <c r="S50" s="7" t="s">
        <v>103</v>
      </c>
      <c r="T50" s="8" t="s">
        <v>104</v>
      </c>
      <c r="U50" s="77" t="s">
        <v>87</v>
      </c>
    </row>
    <row r="51" spans="1:40" ht="15.75" x14ac:dyDescent="0.25">
      <c r="A51" s="181" t="s">
        <v>39</v>
      </c>
      <c r="B51" s="9" t="s">
        <v>105</v>
      </c>
      <c r="D51" s="15">
        <v>1</v>
      </c>
      <c r="E51" s="11">
        <f>E$52*(12)^3</f>
        <v>5356800000</v>
      </c>
      <c r="F51" s="11">
        <f>F$53*(36)^3</f>
        <v>46656</v>
      </c>
      <c r="G51" s="11">
        <f>G$54/6/128*231</f>
        <v>0.30078125</v>
      </c>
      <c r="H51" s="11">
        <f>H$55/2/128*231</f>
        <v>0.90234375</v>
      </c>
      <c r="I51" s="11">
        <f>I$56/128*231</f>
        <v>1.8046875</v>
      </c>
      <c r="J51" s="11">
        <f>J$57/16*231</f>
        <v>14.4375</v>
      </c>
      <c r="K51" s="11">
        <f>K$58/8*231</f>
        <v>28.875</v>
      </c>
      <c r="L51" s="11">
        <f>L$59/4*231</f>
        <v>57.75</v>
      </c>
      <c r="M51" s="80">
        <f>M$60*231</f>
        <v>231</v>
      </c>
      <c r="N51" s="11">
        <f>N$61*42*231</f>
        <v>9702</v>
      </c>
      <c r="O51" s="11">
        <f>O$62/(0.999998)^3*43560*(12)^3</f>
        <v>75272131.631886512</v>
      </c>
      <c r="P51" s="11">
        <f>P$63/(25.4)^3</f>
        <v>6.102374409473229E-5</v>
      </c>
      <c r="Q51" s="80">
        <f>Q$64*1000/(25.4)^3</f>
        <v>6.1023744094732289E-2</v>
      </c>
      <c r="R51" s="11">
        <f>R$65*(1000/25.4)^3</f>
        <v>61023.74409473229</v>
      </c>
      <c r="S51" s="11">
        <f>S$66*(10/25.4)^3</f>
        <v>6.1023744094732289E-2</v>
      </c>
      <c r="T51" s="81">
        <f>T$67*1000*(10/25.4)^3</f>
        <v>61.023744094732287</v>
      </c>
      <c r="U51" s="39" t="s">
        <v>106</v>
      </c>
      <c r="V51" s="40"/>
    </row>
    <row r="52" spans="1:40" ht="15.75" x14ac:dyDescent="0.2">
      <c r="A52" s="181"/>
      <c r="B52" s="9" t="s">
        <v>107</v>
      </c>
      <c r="D52" s="11">
        <f>D$51*(1/12)^3</f>
        <v>5.7870370370370367E-4</v>
      </c>
      <c r="E52" s="15">
        <f>31000*100</f>
        <v>3100000</v>
      </c>
      <c r="F52" s="11">
        <f>F$53*(3)^3</f>
        <v>27</v>
      </c>
      <c r="G52" s="11">
        <f>G$54/6/128*231/(12)^3</f>
        <v>1.7406322337962962E-4</v>
      </c>
      <c r="H52" s="11">
        <f>H$55/2/128*231/(12)^3</f>
        <v>5.2218967013888888E-4</v>
      </c>
      <c r="I52" s="11">
        <f>I$56/128*231/(12)^3</f>
        <v>1.0443793402777778E-3</v>
      </c>
      <c r="J52" s="11">
        <f>J$57/16*231/(12)^3</f>
        <v>8.355034722222222E-3</v>
      </c>
      <c r="K52" s="11">
        <f>K$58/8*231/(12)^3</f>
        <v>1.6710069444444444E-2</v>
      </c>
      <c r="L52" s="11">
        <f>L$59/4*231/(12)^3</f>
        <v>3.3420138888888888E-2</v>
      </c>
      <c r="M52" s="11">
        <f>M$60*231/(12)^3</f>
        <v>0.13368055555555555</v>
      </c>
      <c r="N52" s="11">
        <f>N$61*42*231/(12)^3</f>
        <v>5.614583333333333</v>
      </c>
      <c r="O52" s="11">
        <f>O$62/(0.999998)^3*43560</f>
        <v>43560.261361045435</v>
      </c>
      <c r="P52" s="11">
        <f>P$63/(25.4*12)^3</f>
        <v>3.5314666721488604E-8</v>
      </c>
      <c r="Q52" s="11">
        <f>Q$64*1000/(25.4*12)^3</f>
        <v>3.5314666721488607E-5</v>
      </c>
      <c r="R52" s="11">
        <f>R$65*(1000/25.4/12)^3</f>
        <v>35.314666721488592</v>
      </c>
      <c r="S52" s="11">
        <f>S$66*(10/25.4/12)^3</f>
        <v>3.5314666721488586E-5</v>
      </c>
      <c r="T52" s="12">
        <f>T$67*1000*(10/25.4/12)^3</f>
        <v>3.5314666721488586E-2</v>
      </c>
      <c r="U52" s="39" t="s">
        <v>107</v>
      </c>
      <c r="V52" s="40"/>
    </row>
    <row r="53" spans="1:40" s="44" customFormat="1" ht="16.5" thickBot="1" x14ac:dyDescent="0.25">
      <c r="A53" s="182"/>
      <c r="B53" s="22" t="s">
        <v>108</v>
      </c>
      <c r="C53" s="22"/>
      <c r="D53" s="31">
        <f>D$51*(1/36)^3</f>
        <v>2.143347050754458E-5</v>
      </c>
      <c r="E53" s="31">
        <f>E$52/(3)^3</f>
        <v>114814.81481481482</v>
      </c>
      <c r="F53" s="25">
        <v>1</v>
      </c>
      <c r="G53" s="31">
        <f>G$54/6/128*231/(36)^3</f>
        <v>6.4467860510973937E-6</v>
      </c>
      <c r="H53" s="31">
        <f>H$55/2/128*231/(36)^3</f>
        <v>1.9340358153292181E-5</v>
      </c>
      <c r="I53" s="31">
        <f>I$56/128*231/(36)^3</f>
        <v>3.8680716306584362E-5</v>
      </c>
      <c r="J53" s="31">
        <f>J$57/16*231/(36)^3</f>
        <v>3.094457304526749E-4</v>
      </c>
      <c r="K53" s="31">
        <f>K$58/8*231/(36)^3</f>
        <v>6.188914609053498E-4</v>
      </c>
      <c r="L53" s="31">
        <f>L$59/4*231/(36)^3</f>
        <v>1.2377829218106996E-3</v>
      </c>
      <c r="M53" s="31">
        <f>M$60*231/(36)^3</f>
        <v>4.9511316872427984E-3</v>
      </c>
      <c r="N53" s="31">
        <f>N$61*42*231/(36)^3</f>
        <v>0.20794753086419754</v>
      </c>
      <c r="O53" s="31">
        <f>O$62/(0.999998)^3*43560/(3)^3</f>
        <v>1613.3430133720531</v>
      </c>
      <c r="P53" s="31">
        <f>P$63/(25.4*36)^3</f>
        <v>1.3079506193143923E-9</v>
      </c>
      <c r="Q53" s="31">
        <f>Q$64*1000/(25.4*36)^3</f>
        <v>1.3079506193143923E-6</v>
      </c>
      <c r="R53" s="31">
        <f>R$65*(1000/25.4/36)^3</f>
        <v>1.3079506193143924</v>
      </c>
      <c r="S53" s="31">
        <f>S$66*(10/25.4/36)^3</f>
        <v>1.3079506193143925E-6</v>
      </c>
      <c r="T53" s="32">
        <f>T$67*1000*(10/25.4/36)^3</f>
        <v>1.3079506193143925E-3</v>
      </c>
      <c r="U53" s="43" t="s">
        <v>108</v>
      </c>
      <c r="V53" s="40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82.5" x14ac:dyDescent="0.2">
      <c r="A54" s="168" t="s">
        <v>109</v>
      </c>
      <c r="B54" s="1" t="s">
        <v>110</v>
      </c>
      <c r="D54" s="18">
        <f>D$51/231*128*6</f>
        <v>3.3246753246753249</v>
      </c>
      <c r="E54" s="18">
        <f>E$52*(12)^3/231*128*6</f>
        <v>17809620779.220779</v>
      </c>
      <c r="F54" s="18">
        <f>F$53*(36)^3/231*128*6</f>
        <v>155116.05194805196</v>
      </c>
      <c r="G54" s="15">
        <v>1</v>
      </c>
      <c r="H54" s="18">
        <f>H$55*3</f>
        <v>3</v>
      </c>
      <c r="I54" s="18">
        <f>I$56*6</f>
        <v>6</v>
      </c>
      <c r="J54" s="18">
        <f>J$57*8*6</f>
        <v>48</v>
      </c>
      <c r="K54" s="18">
        <f>K$58*16*6</f>
        <v>96</v>
      </c>
      <c r="L54" s="18">
        <f>L$59*32*6</f>
        <v>192</v>
      </c>
      <c r="M54" s="18">
        <f>M$60*128*6</f>
        <v>768</v>
      </c>
      <c r="N54" s="18">
        <f>N$61*42*128*6</f>
        <v>32256</v>
      </c>
      <c r="O54" s="18">
        <f>O$62/(0.999998)^3*43560*(12)^3/231*128*6</f>
        <v>250255398.67224607</v>
      </c>
      <c r="P54" s="18">
        <f>P$63/(25.4)^3/231*128*6</f>
        <v>2.0288413621105802E-4</v>
      </c>
      <c r="Q54" s="18">
        <f>Q$64*1000/(25.4)^3/231*128*6</f>
        <v>0.202884136211058</v>
      </c>
      <c r="R54" s="18">
        <f>R$65*(1000/25.4)^3/231*128*6</f>
        <v>202884.13621105801</v>
      </c>
      <c r="S54" s="18">
        <f>S$66*(10/25.4)^3/231*128*6</f>
        <v>0.202884136211058</v>
      </c>
      <c r="T54" s="19">
        <f>T$67*1000*(10/25.4)^3/231*128*6</f>
        <v>202.88413621105801</v>
      </c>
      <c r="U54" s="41" t="s">
        <v>111</v>
      </c>
      <c r="V54" s="40"/>
    </row>
    <row r="55" spans="1:40" x14ac:dyDescent="0.2">
      <c r="A55" s="170"/>
      <c r="B55" s="9" t="s">
        <v>112</v>
      </c>
      <c r="D55" s="11">
        <f>D$51/231*128*2</f>
        <v>1.1082251082251082</v>
      </c>
      <c r="E55" s="11">
        <f>E$52*(12)^3/231*128*2</f>
        <v>5936540259.7402601</v>
      </c>
      <c r="F55" s="11">
        <f>F$53*(36)^3/231*128*2</f>
        <v>51705.35064935065</v>
      </c>
      <c r="G55" s="11">
        <f>G$54/3</f>
        <v>0.33333333333333331</v>
      </c>
      <c r="H55" s="15">
        <v>1</v>
      </c>
      <c r="I55" s="11">
        <f>I$56*2</f>
        <v>2</v>
      </c>
      <c r="J55" s="11">
        <f>J$57*8*2</f>
        <v>16</v>
      </c>
      <c r="K55" s="11">
        <f>K$58*16*2</f>
        <v>32</v>
      </c>
      <c r="L55" s="11">
        <f>L$59*32*2</f>
        <v>64</v>
      </c>
      <c r="M55" s="11">
        <f>M$60*128*2</f>
        <v>256</v>
      </c>
      <c r="N55" s="11">
        <f>N$61*42*128*2</f>
        <v>10752</v>
      </c>
      <c r="O55" s="11">
        <f>O$62/(0.999998)^3*43560*(12)^3/231*128*2</f>
        <v>83418466.224082023</v>
      </c>
      <c r="P55" s="11">
        <f>P$63/(25.4)^3/231*128*2</f>
        <v>6.7628045403686003E-5</v>
      </c>
      <c r="Q55" s="11">
        <f>Q$64*1000/(25.4)^3/231*128*2</f>
        <v>6.7628045403685999E-2</v>
      </c>
      <c r="R55" s="11">
        <f>R$65*(1000/25.4)^3/231*128*2</f>
        <v>67628.045403686003</v>
      </c>
      <c r="S55" s="11">
        <f>S$66*(10/25.4)^3/231*128*2</f>
        <v>6.7628045403685999E-2</v>
      </c>
      <c r="T55" s="12">
        <f>T$67*1000*(10/25.4)^3/231*128*2</f>
        <v>67.628045403686002</v>
      </c>
      <c r="U55" s="39" t="s">
        <v>113</v>
      </c>
      <c r="V55" s="40"/>
    </row>
    <row r="56" spans="1:40" ht="12.75" customHeight="1" x14ac:dyDescent="0.25">
      <c r="A56" s="170"/>
      <c r="B56" s="9" t="s">
        <v>114</v>
      </c>
      <c r="D56" s="11">
        <f>D$51/231*128</f>
        <v>0.55411255411255411</v>
      </c>
      <c r="E56" s="11">
        <f>E$52*(12)^3/231*128</f>
        <v>2968270129.8701301</v>
      </c>
      <c r="F56" s="11">
        <f>F$53*(36)^3/231*128</f>
        <v>25852.675324675325</v>
      </c>
      <c r="G56" s="11">
        <f>G$54/6</f>
        <v>0.16666666666666666</v>
      </c>
      <c r="H56" s="11">
        <f>H$55/2</f>
        <v>0.5</v>
      </c>
      <c r="I56" s="15">
        <v>1</v>
      </c>
      <c r="J56" s="11">
        <f>J$57*8</f>
        <v>8</v>
      </c>
      <c r="K56" s="11">
        <f>K$58*16</f>
        <v>16</v>
      </c>
      <c r="L56" s="11">
        <f>L$59*32</f>
        <v>32</v>
      </c>
      <c r="M56" s="80">
        <f>M$60*128</f>
        <v>128</v>
      </c>
      <c r="N56" s="11">
        <f>N$61*42*128</f>
        <v>5376</v>
      </c>
      <c r="O56" s="11">
        <f>O$62/(0.999998)^3*43560*(12)^3/231*128</f>
        <v>41709233.112041011</v>
      </c>
      <c r="P56" s="11">
        <f>P$63/(25.4)^3/231*128</f>
        <v>3.3814022701843001E-5</v>
      </c>
      <c r="Q56" s="80">
        <f>Q$64*1000/(25.4)^3/231*128</f>
        <v>3.3814022701843E-2</v>
      </c>
      <c r="R56" s="11">
        <f>R$65*(1000/25.4)^3/231*128</f>
        <v>33814.022701843001</v>
      </c>
      <c r="S56" s="11">
        <f>S$66*(10/25.4)^3/231*128</f>
        <v>3.3814022701843E-2</v>
      </c>
      <c r="T56" s="12">
        <f>T$67*1000*(10/25.4)^3/231*128</f>
        <v>33.814022701843001</v>
      </c>
      <c r="U56" s="39" t="s">
        <v>114</v>
      </c>
      <c r="V56" s="40"/>
    </row>
    <row r="57" spans="1:40" ht="15.75" x14ac:dyDescent="0.25">
      <c r="A57" s="170"/>
      <c r="B57" s="1" t="s">
        <v>115</v>
      </c>
      <c r="D57" s="18">
        <f>D$51/231*16</f>
        <v>6.9264069264069264E-2</v>
      </c>
      <c r="E57" s="18">
        <f>E$52*(12)^3/231*16</f>
        <v>371033766.23376626</v>
      </c>
      <c r="F57" s="18">
        <f>F$53*(36)^3/231*16</f>
        <v>3231.5844155844156</v>
      </c>
      <c r="G57" s="18">
        <f>G$54/6/8</f>
        <v>2.0833333333333332E-2</v>
      </c>
      <c r="H57" s="18">
        <f>H$55/2/8</f>
        <v>6.25E-2</v>
      </c>
      <c r="I57" s="18">
        <f>I$56/8</f>
        <v>0.125</v>
      </c>
      <c r="J57" s="15">
        <v>1</v>
      </c>
      <c r="K57" s="18">
        <f>K$58*2</f>
        <v>2</v>
      </c>
      <c r="L57" s="18">
        <f>L$59*4</f>
        <v>4</v>
      </c>
      <c r="M57" s="82">
        <f>M$60*16</f>
        <v>16</v>
      </c>
      <c r="N57" s="18">
        <f>N$61*42*16</f>
        <v>672</v>
      </c>
      <c r="O57" s="18">
        <f>O$62/(0.999998)^3*43560*(12)^3/231*16</f>
        <v>5213654.1390051264</v>
      </c>
      <c r="P57" s="18">
        <f>P$63/(25.4)^3/231*16</f>
        <v>4.2267528377303752E-6</v>
      </c>
      <c r="Q57" s="18">
        <f>Q$64*1000/(25.4)^3/231*16</f>
        <v>4.2267528377303749E-3</v>
      </c>
      <c r="R57" s="18">
        <f>R$65*(1000/25.4)^3/231*16</f>
        <v>4226.7528377303752</v>
      </c>
      <c r="S57" s="18">
        <f>S$66*(10/25.4)^3/231*16</f>
        <v>4.2267528377303749E-3</v>
      </c>
      <c r="T57" s="19">
        <f>T$67*1000*(10/25.4)^3/231*16</f>
        <v>4.2267528377303751</v>
      </c>
      <c r="U57" s="41" t="s">
        <v>115</v>
      </c>
      <c r="V57" s="40"/>
    </row>
    <row r="58" spans="1:40" ht="15.75" x14ac:dyDescent="0.25">
      <c r="A58" s="170"/>
      <c r="B58" s="1" t="s">
        <v>116</v>
      </c>
      <c r="D58" s="18">
        <f>D$51/231*8</f>
        <v>3.4632034632034632E-2</v>
      </c>
      <c r="E58" s="18">
        <f>E$52*(12)^3/231*8</f>
        <v>185516883.11688313</v>
      </c>
      <c r="F58" s="18">
        <f>F$53*(36)^3/231*8</f>
        <v>1615.7922077922078</v>
      </c>
      <c r="G58" s="18">
        <f>G$54/6/16</f>
        <v>1.0416666666666666E-2</v>
      </c>
      <c r="H58" s="18">
        <f>H$55/2/16</f>
        <v>3.125E-2</v>
      </c>
      <c r="I58" s="18">
        <f>I$56/16</f>
        <v>6.25E-2</v>
      </c>
      <c r="J58" s="18">
        <f>J$57/2</f>
        <v>0.5</v>
      </c>
      <c r="K58" s="15">
        <v>1</v>
      </c>
      <c r="L58" s="18">
        <f>L$59*2</f>
        <v>2</v>
      </c>
      <c r="M58" s="82">
        <f>M$60*8</f>
        <v>8</v>
      </c>
      <c r="N58" s="18">
        <f>N$61*42*8</f>
        <v>336</v>
      </c>
      <c r="O58" s="18">
        <f>O$62/(0.999998)^3*43560*(12)^3/231*8</f>
        <v>2606827.0695025632</v>
      </c>
      <c r="P58" s="18">
        <f>P$63/(25.4)^3/231*8</f>
        <v>2.1133764188651876E-6</v>
      </c>
      <c r="Q58" s="18">
        <f>Q$64*1000/(25.4)^3/231*8</f>
        <v>2.1133764188651875E-3</v>
      </c>
      <c r="R58" s="18">
        <f>R$65*(1000/25.4)^3/231*8</f>
        <v>2113.3764188651876</v>
      </c>
      <c r="S58" s="18">
        <f>S$66*(10/25.4)^3/231*8</f>
        <v>2.1133764188651875E-3</v>
      </c>
      <c r="T58" s="19">
        <f>T$67*1000*(10/25.4)^3/231*8</f>
        <v>2.1133764188651876</v>
      </c>
      <c r="U58" s="41" t="s">
        <v>117</v>
      </c>
      <c r="V58" s="40"/>
    </row>
    <row r="59" spans="1:40" ht="15.75" x14ac:dyDescent="0.25">
      <c r="A59" s="170"/>
      <c r="B59" s="9" t="s">
        <v>118</v>
      </c>
      <c r="D59" s="11">
        <f>D$51/231*4</f>
        <v>1.7316017316017316E-2</v>
      </c>
      <c r="E59" s="11">
        <f>E$52*(12)^3/231*4</f>
        <v>92758441.558441564</v>
      </c>
      <c r="F59" s="11">
        <f>F$53*(36)^3/231*4</f>
        <v>807.89610389610391</v>
      </c>
      <c r="G59" s="11">
        <f>G$54/6/32</f>
        <v>5.208333333333333E-3</v>
      </c>
      <c r="H59" s="11">
        <f>H$55/2/32</f>
        <v>1.5625E-2</v>
      </c>
      <c r="I59" s="11">
        <f>I$56/32</f>
        <v>3.125E-2</v>
      </c>
      <c r="J59" s="11">
        <f>J$57/4</f>
        <v>0.25</v>
      </c>
      <c r="K59" s="11">
        <f>K$58/2</f>
        <v>0.5</v>
      </c>
      <c r="L59" s="15">
        <v>1</v>
      </c>
      <c r="M59" s="80">
        <f>M$60*4</f>
        <v>4</v>
      </c>
      <c r="N59" s="11">
        <f>N$61*42*4</f>
        <v>168</v>
      </c>
      <c r="O59" s="11">
        <f>O$62/(0.999998)^3*43560*(12)^3/231*4</f>
        <v>1303413.5347512816</v>
      </c>
      <c r="P59" s="11">
        <f>P$63/(25.4)^3/231*4</f>
        <v>1.0566882094325938E-6</v>
      </c>
      <c r="Q59" s="11">
        <f>Q$64*1000/(25.4)^3/231*4</f>
        <v>1.0566882094325937E-3</v>
      </c>
      <c r="R59" s="11">
        <f>R$65*(1000/25.4)^3/231*4</f>
        <v>1056.6882094325938</v>
      </c>
      <c r="S59" s="11">
        <f>S$66*(10/25.4)^3/231*4</f>
        <v>1.0566882094325937E-3</v>
      </c>
      <c r="T59" s="81">
        <f>T$67*1000*(10/25.4)^3/231*4</f>
        <v>1.0566882094325938</v>
      </c>
      <c r="U59" s="39" t="s">
        <v>119</v>
      </c>
      <c r="V59" s="40"/>
    </row>
    <row r="60" spans="1:40" ht="15.75" x14ac:dyDescent="0.25">
      <c r="A60" s="170"/>
      <c r="B60" s="9" t="s">
        <v>120</v>
      </c>
      <c r="D60" s="11">
        <f>D$51/231</f>
        <v>4.329004329004329E-3</v>
      </c>
      <c r="E60" s="80">
        <f>E$52*(12)^3/231</f>
        <v>23189610.389610391</v>
      </c>
      <c r="F60" s="11">
        <f>F$53*(36)^3/231</f>
        <v>201.97402597402598</v>
      </c>
      <c r="G60" s="11">
        <f>G$54/6/128</f>
        <v>1.3020833333333333E-3</v>
      </c>
      <c r="H60" s="11">
        <f>H$55/2/128</f>
        <v>3.90625E-3</v>
      </c>
      <c r="I60" s="11">
        <f>I$56/128</f>
        <v>7.8125E-3</v>
      </c>
      <c r="J60" s="11">
        <f>J$57/16</f>
        <v>6.25E-2</v>
      </c>
      <c r="K60" s="11">
        <f>K$58/8</f>
        <v>0.125</v>
      </c>
      <c r="L60" s="11">
        <f>L$59/4</f>
        <v>0.25</v>
      </c>
      <c r="M60" s="15">
        <v>1</v>
      </c>
      <c r="N60" s="80">
        <f>N$61*42</f>
        <v>42</v>
      </c>
      <c r="O60" s="80">
        <f>O$62/(0.999998)^3*43560*(12)^3/231</f>
        <v>325853.3836878204</v>
      </c>
      <c r="P60" s="11">
        <f>P$63/(25.4)^3/231</f>
        <v>2.6417205235814845E-7</v>
      </c>
      <c r="Q60" s="11">
        <f>Q$64*1000/(25.4)^3/231</f>
        <v>2.6417205235814843E-4</v>
      </c>
      <c r="R60" s="11">
        <f>R$65*(1000/25.4)^3/231</f>
        <v>264.17205235814845</v>
      </c>
      <c r="S60" s="11">
        <f>S$66*(10/25.4)^3/231</f>
        <v>2.6417205235814843E-4</v>
      </c>
      <c r="T60" s="81">
        <f>T$67*1000*(10/25.4)^3/231</f>
        <v>0.26417205235814845</v>
      </c>
      <c r="U60" s="39" t="s">
        <v>120</v>
      </c>
      <c r="V60" s="40"/>
    </row>
    <row r="61" spans="1:40" x14ac:dyDescent="0.2">
      <c r="A61" s="170"/>
      <c r="B61" s="1" t="s">
        <v>121</v>
      </c>
      <c r="D61" s="18">
        <f>D$51/231/42</f>
        <v>1.0307153164296021E-4</v>
      </c>
      <c r="E61" s="18">
        <f>E$52*(12)^3/231/42</f>
        <v>552133.58070500928</v>
      </c>
      <c r="F61" s="18">
        <f>F$53*(36)^3/231/42</f>
        <v>4.8089053803339521</v>
      </c>
      <c r="G61" s="18">
        <f>G$54/6/128/42</f>
        <v>3.1001984126984125E-5</v>
      </c>
      <c r="H61" s="18">
        <f>H$55/2/128/42</f>
        <v>9.3005952380952376E-5</v>
      </c>
      <c r="I61" s="18">
        <f>I$56/128/42</f>
        <v>1.8601190476190475E-4</v>
      </c>
      <c r="J61" s="18">
        <f>J$57/16/42</f>
        <v>1.488095238095238E-3</v>
      </c>
      <c r="K61" s="18">
        <f>K$58/8/42</f>
        <v>2.976190476190476E-3</v>
      </c>
      <c r="L61" s="18">
        <f>L$59/4/42</f>
        <v>5.9523809523809521E-3</v>
      </c>
      <c r="M61" s="18">
        <f>M$60/42</f>
        <v>2.3809523809523808E-2</v>
      </c>
      <c r="N61" s="15">
        <v>1</v>
      </c>
      <c r="O61" s="18">
        <f>O$62/(0.999998)^3*43560*(12)^3/231/42</f>
        <v>7758.4138973290574</v>
      </c>
      <c r="P61" s="18">
        <f>P$63/(25.4)^3/231/42</f>
        <v>6.2898107704321061E-9</v>
      </c>
      <c r="Q61" s="18">
        <f>Q$64*1000/(25.4)^3/231/42</f>
        <v>6.2898107704321056E-6</v>
      </c>
      <c r="R61" s="18">
        <f>R$65*(1000/25.4)^3/231/42</f>
        <v>6.2898107704321058</v>
      </c>
      <c r="S61" s="18">
        <f>S$66*(10/25.4)^3/231/42</f>
        <v>6.2898107704321056E-6</v>
      </c>
      <c r="T61" s="19">
        <f>T$67*1000*(10/25.4)^3/231/42</f>
        <v>6.289810770432106E-3</v>
      </c>
      <c r="U61" s="41" t="s">
        <v>121</v>
      </c>
      <c r="V61" s="40"/>
    </row>
    <row r="62" spans="1:40" s="44" customFormat="1" ht="15.75" thickBot="1" x14ac:dyDescent="0.25">
      <c r="A62" s="171"/>
      <c r="B62" s="22" t="s">
        <v>122</v>
      </c>
      <c r="C62" s="22"/>
      <c r="D62" s="31">
        <f>D$51*(1/12)^3/43560*(0.999998)^3</f>
        <v>1.3285129281185171E-8</v>
      </c>
      <c r="E62" s="31">
        <f>E$52/43560*(0.999998)^3</f>
        <v>71.165780533452718</v>
      </c>
      <c r="F62" s="31">
        <f>F$53*(3)^3/43560*(0.999998)^3</f>
        <v>6.1983099174297543E-4</v>
      </c>
      <c r="G62" s="31">
        <f>G$54/6/128*231/(12)^3/43560*(0.999998)^3</f>
        <v>3.9959177916064768E-9</v>
      </c>
      <c r="H62" s="31">
        <f>H$55/2/128*231/(12)^3/43560*(0.999998)^3</f>
        <v>1.1987753374819433E-8</v>
      </c>
      <c r="I62" s="31">
        <f>I$56/128*231/(12)^3/43560*(0.999998)^3</f>
        <v>2.3975506749638866E-8</v>
      </c>
      <c r="J62" s="31">
        <f>J$57/16*231/(12)^3/43560*(0.999998)^3</f>
        <v>1.9180405399711093E-7</v>
      </c>
      <c r="K62" s="31">
        <f>K$58/8*231/(12)^3/43560*(0.999998)^3</f>
        <v>3.8360810799422186E-7</v>
      </c>
      <c r="L62" s="31">
        <f>L$59/4*231/(12)^3/43560*(0.999998)^3</f>
        <v>7.6721621598844371E-7</v>
      </c>
      <c r="M62" s="31">
        <f>M$60*231/(12)^3/43560*(0.999998)^3</f>
        <v>3.0688648639537749E-6</v>
      </c>
      <c r="N62" s="31">
        <f>N$61*42*231/(12)^3/43560*(0.999998)^3</f>
        <v>1.2889232428605854E-4</v>
      </c>
      <c r="O62" s="25">
        <v>1</v>
      </c>
      <c r="P62" s="31">
        <f>P$63/(25.4*12)^3/43560*(0.999998)^3</f>
        <v>8.1070832952047887E-13</v>
      </c>
      <c r="Q62" s="31">
        <f>Q$64*1000/(25.4*12)^3/43560*(0.999998)^3</f>
        <v>8.1070832952047884E-10</v>
      </c>
      <c r="R62" s="31">
        <f>R$65*(1000/25.4/12)^3/43560*(0.999998)^3</f>
        <v>8.1070832952047866E-4</v>
      </c>
      <c r="S62" s="31">
        <f>S$66*(10/25.4/12)^3/43560*(0.999998)^3</f>
        <v>8.1070832952047843E-10</v>
      </c>
      <c r="T62" s="32">
        <f>T$67*1000*(10/25.4/12)^3/43560*(0.999998)^3</f>
        <v>8.1070832952047841E-7</v>
      </c>
      <c r="U62" s="43" t="s">
        <v>122</v>
      </c>
      <c r="V62" s="40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41.25" x14ac:dyDescent="0.2">
      <c r="A63" s="172" t="s">
        <v>46</v>
      </c>
      <c r="B63" s="9" t="s">
        <v>123</v>
      </c>
      <c r="D63" s="11">
        <f>D$51*(25.4)^3</f>
        <v>16387.063999999998</v>
      </c>
      <c r="E63" s="11">
        <f>E$52*(12*25.4)^3</f>
        <v>87782224435199.969</v>
      </c>
      <c r="F63" s="11">
        <f>F$53*(36*25.4)^3</f>
        <v>764554857.98399997</v>
      </c>
      <c r="G63" s="11">
        <f>G$54/6/128*231*(25.4)^3</f>
        <v>4928.9215937499994</v>
      </c>
      <c r="H63" s="11">
        <f>H$55/2/128*231*(25.4)^3</f>
        <v>14786.764781249998</v>
      </c>
      <c r="I63" s="11">
        <f>I$56/128*231*(25.4)^3</f>
        <v>29573.529562499996</v>
      </c>
      <c r="J63" s="11">
        <f>J$57/16*231*(25.4)^3</f>
        <v>236588.23649999997</v>
      </c>
      <c r="K63" s="11">
        <f>K$58/8*231*(25.4)^3</f>
        <v>473176.47299999994</v>
      </c>
      <c r="L63" s="11">
        <f>L$59/4*231*(25.4)^3</f>
        <v>946352.94599999988</v>
      </c>
      <c r="M63" s="11">
        <f>M$60*231*(25.4)^3</f>
        <v>3785411.7839999995</v>
      </c>
      <c r="N63" s="11">
        <f>N$61*42*231*(25.4)^3</f>
        <v>158987294.92799997</v>
      </c>
      <c r="O63" s="11">
        <f>O$62/(0.999998)^3*43560*(12*25.4)^3</f>
        <v>1233489238468.1482</v>
      </c>
      <c r="P63" s="15">
        <v>1</v>
      </c>
      <c r="Q63" s="11">
        <f>Q$64*1000</f>
        <v>1000</v>
      </c>
      <c r="R63" s="11">
        <f>R$65*(1000)^3</f>
        <v>1000000000</v>
      </c>
      <c r="S63" s="11">
        <f>S$66*(10)^3</f>
        <v>1000</v>
      </c>
      <c r="T63" s="12">
        <f>T$67*1000*(10)^3</f>
        <v>1000000</v>
      </c>
      <c r="U63" s="39" t="s">
        <v>123</v>
      </c>
      <c r="V63" s="40"/>
    </row>
    <row r="64" spans="1:40" ht="15.75" x14ac:dyDescent="0.25">
      <c r="A64" s="168"/>
      <c r="B64" s="9" t="s">
        <v>124</v>
      </c>
      <c r="D64" s="80">
        <f>D$51*(2.54)^3</f>
        <v>16.387063999999999</v>
      </c>
      <c r="E64" s="11">
        <f>E$52*(12*2.54)^3</f>
        <v>87782224435.200012</v>
      </c>
      <c r="F64" s="11">
        <f>F$53*(36*2.54)^3</f>
        <v>764554.857984</v>
      </c>
      <c r="G64" s="11">
        <f>G$54/6/128*231*(2.54)^3</f>
        <v>4.9289215937499993</v>
      </c>
      <c r="H64" s="11">
        <f>H$55/2/128*231*(2.54)^3</f>
        <v>14.78676478125</v>
      </c>
      <c r="I64" s="11">
        <f>I$56/128*231*(2.54)^3</f>
        <v>29.573529562499999</v>
      </c>
      <c r="J64" s="11">
        <f>J$57/16*231*(2.54)^3</f>
        <v>236.58823649999999</v>
      </c>
      <c r="K64" s="11">
        <f>K$58/8*231*(2.54)^3</f>
        <v>473.17647299999999</v>
      </c>
      <c r="L64" s="11">
        <f>L$59/4*231*(2.54)^3</f>
        <v>946.35294599999997</v>
      </c>
      <c r="M64" s="11">
        <f>M$60*231*(2.54)^3</f>
        <v>3785.4117839999999</v>
      </c>
      <c r="N64" s="11">
        <f>N$61*42*231*(2.54)^3</f>
        <v>158987.29492799999</v>
      </c>
      <c r="O64" s="11">
        <f>O$62/(0.999998)^3*43560*(12*2.54)^3</f>
        <v>1233489238.4681487</v>
      </c>
      <c r="P64" s="11">
        <f>P$63/1000</f>
        <v>1E-3</v>
      </c>
      <c r="Q64" s="15">
        <v>1</v>
      </c>
      <c r="R64" s="11">
        <f>R$65*(100)^3</f>
        <v>1000000</v>
      </c>
      <c r="S64" s="11">
        <f>S$66</f>
        <v>1</v>
      </c>
      <c r="T64" s="12">
        <f>T$67*1000</f>
        <v>1000</v>
      </c>
      <c r="U64" s="39" t="s">
        <v>124</v>
      </c>
      <c r="V64" s="40"/>
    </row>
    <row r="65" spans="1:159" x14ac:dyDescent="0.2">
      <c r="A65" s="168"/>
      <c r="B65" s="1" t="s">
        <v>125</v>
      </c>
      <c r="D65" s="18">
        <f>D$51*(25.4/1000)^3</f>
        <v>1.6387063999999999E-5</v>
      </c>
      <c r="E65" s="18">
        <f>E$52*(12*25.4/1000)^3</f>
        <v>87782.224435199969</v>
      </c>
      <c r="F65" s="18">
        <f>F$53*(36*25.4/1000)^3</f>
        <v>0.76455485798400002</v>
      </c>
      <c r="G65" s="18">
        <f>G$54/6/128*231*(25.4/1000)^3</f>
        <v>4.9289215937499996E-6</v>
      </c>
      <c r="H65" s="18">
        <f>H$55/2/128*231*(25.4/1000)^3</f>
        <v>1.4786764781249999E-5</v>
      </c>
      <c r="I65" s="18">
        <f>I$56/128*231*(25.4/1000)^3</f>
        <v>2.9573529562499998E-5</v>
      </c>
      <c r="J65" s="18">
        <f>J$57/16*231*(25.4/1000)^3</f>
        <v>2.3658823649999998E-4</v>
      </c>
      <c r="K65" s="18">
        <f>K$58/8*231*(25.4/1000)^3</f>
        <v>4.7317647299999996E-4</v>
      </c>
      <c r="L65" s="18">
        <f>L$59/4*231*(25.4/1000)^3</f>
        <v>9.4635294599999993E-4</v>
      </c>
      <c r="M65" s="18">
        <f>M$60*231*(25.4/1000)^3</f>
        <v>3.7854117839999997E-3</v>
      </c>
      <c r="N65" s="18">
        <f>N$61*42*231*(25.4/1000)^3</f>
        <v>0.15898729492799998</v>
      </c>
      <c r="O65" s="18">
        <f>O$62/(0.999998)^3*43560*(12*25.4/1000)^3</f>
        <v>1233.4892384681484</v>
      </c>
      <c r="P65" s="18">
        <f>P$63/(1000)^3</f>
        <v>1.0000000000000001E-9</v>
      </c>
      <c r="Q65" s="18">
        <f>Q$64/(100)^3</f>
        <v>9.9999999999999995E-7</v>
      </c>
      <c r="R65" s="15">
        <v>1</v>
      </c>
      <c r="S65" s="18">
        <f>S$66/(100)^3</f>
        <v>9.9999999999999995E-7</v>
      </c>
      <c r="T65" s="19">
        <f>T$67/1000</f>
        <v>1E-3</v>
      </c>
      <c r="U65" s="41" t="s">
        <v>125</v>
      </c>
      <c r="V65" s="40"/>
    </row>
    <row r="66" spans="1:159" x14ac:dyDescent="0.2">
      <c r="A66" s="168"/>
      <c r="B66" s="1" t="s">
        <v>126</v>
      </c>
      <c r="D66" s="18">
        <f>D$51*(2.54)^3</f>
        <v>16.387063999999999</v>
      </c>
      <c r="E66" s="18">
        <f>E$52*(12*2.54)^3</f>
        <v>87782224435.200012</v>
      </c>
      <c r="F66" s="18">
        <f>F$53*(36*2.54)^3</f>
        <v>764554.857984</v>
      </c>
      <c r="G66" s="18">
        <f>G$54/6/128*231*(2.54)^3</f>
        <v>4.9289215937499993</v>
      </c>
      <c r="H66" s="18">
        <f>H$55/2/128*231*(2.54)^3</f>
        <v>14.78676478125</v>
      </c>
      <c r="I66" s="18">
        <f>I$56/128*231*(2.54)^3</f>
        <v>29.573529562499999</v>
      </c>
      <c r="J66" s="18">
        <f>J$57/16*231*(2.54)^3</f>
        <v>236.58823649999999</v>
      </c>
      <c r="K66" s="18">
        <f>K$58/8*231*(2.54)^3</f>
        <v>473.17647299999999</v>
      </c>
      <c r="L66" s="18">
        <f>L$59/4*231*(2.54)^3</f>
        <v>946.35294599999997</v>
      </c>
      <c r="M66" s="18">
        <f>M$60*231*(2.54)^3</f>
        <v>3785.4117839999999</v>
      </c>
      <c r="N66" s="18">
        <f>N$61*42*231*(2.54)^3</f>
        <v>158987.29492799999</v>
      </c>
      <c r="O66" s="18">
        <f>O$62/(0.999998)^3*43560*(12*2.54)^3</f>
        <v>1233489238.4681487</v>
      </c>
      <c r="P66" s="18">
        <f>P$63/1000</f>
        <v>1E-3</v>
      </c>
      <c r="Q66" s="18">
        <f>Q$64</f>
        <v>1</v>
      </c>
      <c r="R66" s="18">
        <f>R$65*(100)^3</f>
        <v>1000000</v>
      </c>
      <c r="S66" s="15">
        <v>1</v>
      </c>
      <c r="T66" s="19">
        <f>T$67*1000</f>
        <v>1000</v>
      </c>
      <c r="U66" s="41" t="s">
        <v>126</v>
      </c>
      <c r="V66" s="40"/>
    </row>
    <row r="67" spans="1:159" s="44" customFormat="1" ht="16.5" thickBot="1" x14ac:dyDescent="0.3">
      <c r="A67" s="169"/>
      <c r="B67" s="21" t="s">
        <v>127</v>
      </c>
      <c r="C67" s="22"/>
      <c r="D67" s="24">
        <f>D$51*(2.54)^3/1000</f>
        <v>1.6387064E-2</v>
      </c>
      <c r="E67" s="24">
        <f>E$52*(12*2.54)^3/1000</f>
        <v>87782224.435200006</v>
      </c>
      <c r="F67" s="24">
        <f>F$53*(36*2.54)^3/1000</f>
        <v>764.55485798400002</v>
      </c>
      <c r="G67" s="24">
        <f>G$54/6/128*231*(2.54)^3/1000</f>
        <v>4.928921593749999E-3</v>
      </c>
      <c r="H67" s="24">
        <f>H$55/2/128*231*(2.54)^3/1000</f>
        <v>1.478676478125E-2</v>
      </c>
      <c r="I67" s="24">
        <f>I$56/128*231*(2.54)^3/1000</f>
        <v>2.9573529562499999E-2</v>
      </c>
      <c r="J67" s="24">
        <f>J$57/16*231*(2.54)^3/1000</f>
        <v>0.23658823649999999</v>
      </c>
      <c r="K67" s="24">
        <f>K$58/8*231*(2.54)^3/1000</f>
        <v>0.47317647299999999</v>
      </c>
      <c r="L67" s="83">
        <f>L$59/4*231*(2.54)^3/1000</f>
        <v>0.94635294599999997</v>
      </c>
      <c r="M67" s="83">
        <f>M$60*231*(2.54)^3/1000</f>
        <v>3.7854117839999999</v>
      </c>
      <c r="N67" s="83">
        <f>N$61*42*231*(2.54)^3/1000</f>
        <v>158.98729492799998</v>
      </c>
      <c r="O67" s="24">
        <f>O$62/(0.999998)^3*43560*(12*2.54)^3/1000</f>
        <v>1233489.2384681487</v>
      </c>
      <c r="P67" s="24">
        <f>P$63/1000/1000</f>
        <v>9.9999999999999995E-7</v>
      </c>
      <c r="Q67" s="24">
        <f>Q$64/1000</f>
        <v>1E-3</v>
      </c>
      <c r="R67" s="24">
        <f>R$65*1000</f>
        <v>1000</v>
      </c>
      <c r="S67" s="24">
        <f>S$66/1000</f>
        <v>1E-3</v>
      </c>
      <c r="T67" s="34">
        <v>1</v>
      </c>
      <c r="U67" s="42" t="s">
        <v>127</v>
      </c>
      <c r="V67" s="40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159" ht="15.75" x14ac:dyDescent="0.25">
      <c r="A68" s="168"/>
      <c r="D68" s="16" t="s">
        <v>128</v>
      </c>
      <c r="E68" s="16"/>
      <c r="F68" s="16"/>
      <c r="G68" s="16"/>
      <c r="H68" s="16"/>
      <c r="I68" s="16"/>
      <c r="J68" s="16"/>
      <c r="K68" s="16"/>
      <c r="L68" s="16"/>
      <c r="M68" s="84"/>
      <c r="N68" s="84"/>
      <c r="O68" s="84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</row>
    <row r="69" spans="1:159" ht="15.75" x14ac:dyDescent="0.25">
      <c r="A69" s="168"/>
      <c r="D69" s="16" t="s">
        <v>129</v>
      </c>
      <c r="E69" s="16"/>
      <c r="F69" s="16"/>
      <c r="G69" s="16"/>
      <c r="H69" s="16"/>
      <c r="I69" s="16"/>
      <c r="J69" s="16"/>
      <c r="K69" s="16"/>
      <c r="L69" s="16"/>
      <c r="M69" s="84"/>
      <c r="N69" s="84"/>
      <c r="O69" s="84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</row>
    <row r="70" spans="1:159" ht="15.75" x14ac:dyDescent="0.25">
      <c r="A70" s="168"/>
      <c r="D70" s="16" t="s">
        <v>130</v>
      </c>
      <c r="E70" s="16"/>
      <c r="F70" s="16"/>
      <c r="G70" s="16"/>
      <c r="H70" s="16"/>
      <c r="I70" s="16"/>
      <c r="J70" s="16"/>
      <c r="K70" s="16"/>
      <c r="L70" s="16"/>
      <c r="M70" s="84"/>
      <c r="N70" s="84"/>
      <c r="O70" s="84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</row>
    <row r="71" spans="1:159" ht="15.75" x14ac:dyDescent="0.25">
      <c r="A71" s="168"/>
      <c r="D71" s="16" t="s">
        <v>131</v>
      </c>
      <c r="E71" s="16"/>
      <c r="F71" s="16"/>
      <c r="G71" s="16"/>
      <c r="H71" s="16"/>
      <c r="I71" s="16"/>
      <c r="J71" s="16"/>
      <c r="K71" s="16"/>
      <c r="L71" s="16"/>
      <c r="M71" s="84"/>
      <c r="N71" s="84"/>
      <c r="O71" s="84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</row>
    <row r="72" spans="1:159" ht="16.5" thickBot="1" x14ac:dyDescent="0.3">
      <c r="A72" s="168"/>
      <c r="D72" s="16"/>
      <c r="E72" s="16"/>
      <c r="F72" s="16"/>
      <c r="G72" s="16"/>
      <c r="H72" s="16"/>
      <c r="I72" s="16"/>
      <c r="J72" s="16"/>
      <c r="K72" s="16"/>
      <c r="L72" s="16"/>
      <c r="M72" s="84"/>
      <c r="N72" s="84"/>
      <c r="O72" s="84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</row>
    <row r="73" spans="1:159" s="6" customFormat="1" ht="32.25" thickTop="1" thickBot="1" x14ac:dyDescent="0.3">
      <c r="A73" s="183"/>
      <c r="B73" s="5" t="s">
        <v>132</v>
      </c>
      <c r="D73" s="37" t="s">
        <v>133</v>
      </c>
      <c r="E73" s="37" t="s">
        <v>134</v>
      </c>
      <c r="F73" s="37" t="s">
        <v>135</v>
      </c>
      <c r="G73" s="37" t="s">
        <v>136</v>
      </c>
      <c r="H73" s="38" t="s">
        <v>88</v>
      </c>
      <c r="I73" s="38" t="s">
        <v>137</v>
      </c>
      <c r="J73" s="85" t="s">
        <v>132</v>
      </c>
      <c r="R73" s="5"/>
    </row>
    <row r="74" spans="1:159" s="2" customFormat="1" ht="15.75" x14ac:dyDescent="0.25">
      <c r="A74" s="172"/>
      <c r="B74" s="45" t="s">
        <v>138</v>
      </c>
      <c r="C74" s="46"/>
      <c r="D74" s="47">
        <v>1</v>
      </c>
      <c r="E74" s="48">
        <f>E$75*2</f>
        <v>2</v>
      </c>
      <c r="F74" s="48">
        <f>F$76*2*4*2</f>
        <v>16</v>
      </c>
      <c r="G74" s="48">
        <f>G$77*4*8*2</f>
        <v>64</v>
      </c>
      <c r="H74" s="49">
        <f>H78/2150.42*64</f>
        <v>2.9761627961049468E-2</v>
      </c>
      <c r="I74" s="49">
        <f>I$79/0.5506105</f>
        <v>1.8161658740616098</v>
      </c>
      <c r="J74" s="50" t="s">
        <v>138</v>
      </c>
      <c r="K74" s="28"/>
      <c r="L74" s="28"/>
      <c r="M74" s="86"/>
      <c r="N74" s="86"/>
      <c r="O74" s="86"/>
      <c r="P74" s="28"/>
      <c r="Q74" s="1"/>
      <c r="R74" s="1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</row>
    <row r="75" spans="1:159" x14ac:dyDescent="0.2">
      <c r="A75" s="168"/>
      <c r="B75" s="51" t="s">
        <v>139</v>
      </c>
      <c r="C75" s="2"/>
      <c r="D75" s="11">
        <f>D$74/2</f>
        <v>0.5</v>
      </c>
      <c r="E75" s="15">
        <v>1</v>
      </c>
      <c r="F75" s="11">
        <f>F$76*2*4</f>
        <v>8</v>
      </c>
      <c r="G75" s="11">
        <f>G$77*4*8</f>
        <v>32</v>
      </c>
      <c r="H75" s="12">
        <f>H78/2150.42*32</f>
        <v>1.4880813980524734E-2</v>
      </c>
      <c r="I75" s="12">
        <f>I$79/1.101221</f>
        <v>0.90808293703080489</v>
      </c>
      <c r="J75" s="39" t="s">
        <v>139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</row>
    <row r="76" spans="1:159" x14ac:dyDescent="0.2">
      <c r="A76" s="168"/>
      <c r="B76" s="2" t="s">
        <v>140</v>
      </c>
      <c r="C76" s="2"/>
      <c r="D76" s="18">
        <f>D$74/2/4/2</f>
        <v>6.25E-2</v>
      </c>
      <c r="E76" s="18">
        <f>E$75/4/2</f>
        <v>0.125</v>
      </c>
      <c r="F76" s="15">
        <v>1</v>
      </c>
      <c r="G76" s="18">
        <f>G$77*4</f>
        <v>4</v>
      </c>
      <c r="H76" s="19">
        <f>H78/2150.42*4</f>
        <v>1.8601017475655918E-3</v>
      </c>
      <c r="I76" s="19">
        <f>I$79/8.809768</f>
        <v>0.11351036712885061</v>
      </c>
      <c r="J76" s="41" t="s">
        <v>140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</row>
    <row r="77" spans="1:159" x14ac:dyDescent="0.2">
      <c r="A77" s="168"/>
      <c r="B77" s="2" t="s">
        <v>141</v>
      </c>
      <c r="C77" s="2"/>
      <c r="D77" s="18">
        <f>D$74/2/4/8</f>
        <v>1.5625E-2</v>
      </c>
      <c r="E77" s="18">
        <f>E$75/4/8</f>
        <v>3.125E-2</v>
      </c>
      <c r="F77" s="18">
        <f>F$76/4</f>
        <v>0.25</v>
      </c>
      <c r="G77" s="15">
        <v>1</v>
      </c>
      <c r="H77" s="19">
        <f>H78/2150.42</f>
        <v>4.6502543689139794E-4</v>
      </c>
      <c r="I77" s="19">
        <f>I$79/35.239072</f>
        <v>2.8377591782212653E-2</v>
      </c>
      <c r="J77" s="41" t="s">
        <v>141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</row>
    <row r="78" spans="1:159" x14ac:dyDescent="0.2">
      <c r="A78" s="168"/>
      <c r="B78" s="51" t="s">
        <v>105</v>
      </c>
      <c r="C78" s="28"/>
      <c r="D78" s="11">
        <f>D$74*2150.42/64</f>
        <v>33.600312500000001</v>
      </c>
      <c r="E78" s="11">
        <f>E$75*2150.42/32</f>
        <v>67.200625000000002</v>
      </c>
      <c r="F78" s="11">
        <f>F$76*2150.42/4</f>
        <v>537.60500000000002</v>
      </c>
      <c r="G78" s="11">
        <f>G$77*2150.42</f>
        <v>2150.42</v>
      </c>
      <c r="H78" s="52">
        <v>1</v>
      </c>
      <c r="I78" s="12">
        <f>I79*1000*(10/25.4)^3</f>
        <v>61.023744094732287</v>
      </c>
      <c r="J78" s="39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</row>
    <row r="79" spans="1:159" s="2" customFormat="1" ht="15.75" thickBot="1" x14ac:dyDescent="0.25">
      <c r="A79" s="169"/>
      <c r="B79" s="21" t="s">
        <v>142</v>
      </c>
      <c r="C79" s="22"/>
      <c r="D79" s="24">
        <f>D$74*0.5506105</f>
        <v>0.5506105</v>
      </c>
      <c r="E79" s="24">
        <f>E$75*1.101221</f>
        <v>1.101221</v>
      </c>
      <c r="F79" s="24">
        <f>F$76*8.809768</f>
        <v>8.809768</v>
      </c>
      <c r="G79" s="24">
        <f>G$77*35.239072</f>
        <v>35.239072</v>
      </c>
      <c r="H79" s="53">
        <f>H$78*(2.54)^3/1000</f>
        <v>1.6387064E-2</v>
      </c>
      <c r="I79" s="34">
        <v>1</v>
      </c>
      <c r="J79" s="42" t="s">
        <v>142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</row>
    <row r="80" spans="1:159" ht="15.75" x14ac:dyDescent="0.25">
      <c r="A80" s="168"/>
      <c r="D80" s="16" t="s">
        <v>143</v>
      </c>
      <c r="E80" s="16"/>
      <c r="F80" s="16"/>
      <c r="G80" s="16"/>
      <c r="H80" s="16"/>
      <c r="I80" s="16"/>
      <c r="J80" s="16"/>
      <c r="K80" s="16"/>
      <c r="L80" s="16"/>
      <c r="M80" s="84"/>
      <c r="N80" s="84"/>
      <c r="O80" s="84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</row>
    <row r="81" spans="1:159" ht="15.75" x14ac:dyDescent="0.25">
      <c r="A81" s="168"/>
      <c r="D81" s="16" t="s">
        <v>144</v>
      </c>
      <c r="E81" s="16"/>
      <c r="F81" s="16"/>
      <c r="G81" s="16"/>
      <c r="H81" s="16"/>
      <c r="I81" s="16"/>
      <c r="J81" s="16"/>
      <c r="K81" s="16"/>
      <c r="L81" s="16"/>
      <c r="M81" s="84"/>
      <c r="N81" s="84"/>
      <c r="O81" s="84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</row>
    <row r="82" spans="1:159" ht="15.75" thickBot="1" x14ac:dyDescent="0.25">
      <c r="A82" s="184"/>
    </row>
    <row r="83" spans="1:159" s="6" customFormat="1" ht="32.25" thickTop="1" thickBot="1" x14ac:dyDescent="0.3">
      <c r="A83" s="183"/>
      <c r="B83" s="78" t="s">
        <v>145</v>
      </c>
      <c r="C83" s="36"/>
      <c r="D83" s="37" t="s">
        <v>146</v>
      </c>
      <c r="E83" s="37" t="s">
        <v>147</v>
      </c>
      <c r="F83" s="37" t="s">
        <v>148</v>
      </c>
      <c r="G83" s="37" t="s">
        <v>149</v>
      </c>
      <c r="H83" s="37" t="s">
        <v>150</v>
      </c>
      <c r="I83" s="37" t="s">
        <v>151</v>
      </c>
      <c r="J83" s="37" t="s">
        <v>152</v>
      </c>
      <c r="K83" s="37" t="s">
        <v>153</v>
      </c>
      <c r="L83" s="37" t="s">
        <v>154</v>
      </c>
      <c r="M83" s="38" t="s">
        <v>155</v>
      </c>
      <c r="N83" s="79" t="s">
        <v>145</v>
      </c>
      <c r="R83" s="5"/>
    </row>
    <row r="84" spans="1:159" s="2" customFormat="1" ht="50.25" x14ac:dyDescent="0.2">
      <c r="A84" s="172" t="s">
        <v>39</v>
      </c>
      <c r="B84" s="51" t="s">
        <v>156</v>
      </c>
      <c r="D84" s="15">
        <v>1</v>
      </c>
      <c r="E84" s="11">
        <f>E$85/16*7000</f>
        <v>437.5</v>
      </c>
      <c r="F84" s="11">
        <f>F$86*7000</f>
        <v>7000</v>
      </c>
      <c r="G84" s="11">
        <f>G$87*2000*7000</f>
        <v>14000000</v>
      </c>
      <c r="H84" s="11">
        <f>H$88*480</f>
        <v>480</v>
      </c>
      <c r="I84" s="11">
        <f>I$89*12*480</f>
        <v>5760</v>
      </c>
      <c r="J84" s="11">
        <f>J$90/1000/28.349523125/16*7000</f>
        <v>1.5432358352941431E-2</v>
      </c>
      <c r="K84" s="11">
        <f>K$91/28.349523125/16*7000</f>
        <v>15.432358352941431</v>
      </c>
      <c r="L84" s="11">
        <f>L$92*1000/28.349523125/16*7000</f>
        <v>15432.35835294143</v>
      </c>
      <c r="M84" s="12">
        <f>M$93*1000*1000/28.349523125/16*7000</f>
        <v>15432358.352941431</v>
      </c>
      <c r="N84" s="39" t="s">
        <v>156</v>
      </c>
    </row>
    <row r="85" spans="1:159" x14ac:dyDescent="0.2">
      <c r="A85" s="168"/>
      <c r="B85" s="9" t="s">
        <v>157</v>
      </c>
      <c r="D85" s="11">
        <f>D$84/7000*16</f>
        <v>2.2857142857142859E-3</v>
      </c>
      <c r="E85" s="15">
        <v>1</v>
      </c>
      <c r="F85" s="11">
        <f>F$86*16</f>
        <v>16</v>
      </c>
      <c r="G85" s="11">
        <f>G$87*2000*16</f>
        <v>32000</v>
      </c>
      <c r="H85" s="11">
        <f>H$88*480/7000*16</f>
        <v>1.0971428571428572</v>
      </c>
      <c r="I85" s="11">
        <f>I$89*12*480/7000*16</f>
        <v>13.165714285714285</v>
      </c>
      <c r="J85" s="11">
        <f>J$90/1000/28.349523125</f>
        <v>3.5273961949580415E-5</v>
      </c>
      <c r="K85" s="11">
        <f>K$91/28.349523125</f>
        <v>3.5273961949580414E-2</v>
      </c>
      <c r="L85" s="11">
        <f>L$92*1000/28.349523125</f>
        <v>35.273961949580411</v>
      </c>
      <c r="M85" s="12">
        <f>M$93*1000*1000/28.349523125</f>
        <v>35273.961949580415</v>
      </c>
      <c r="N85" s="39" t="s">
        <v>157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159" x14ac:dyDescent="0.2">
      <c r="A86" s="168"/>
      <c r="B86" s="1" t="s">
        <v>158</v>
      </c>
      <c r="D86" s="54">
        <f>D$84/7000</f>
        <v>1.4285714285714287E-4</v>
      </c>
      <c r="E86" s="54">
        <f>E$85/16</f>
        <v>6.25E-2</v>
      </c>
      <c r="F86" s="15">
        <v>1</v>
      </c>
      <c r="G86" s="54">
        <f>G$87*2000</f>
        <v>2000</v>
      </c>
      <c r="H86" s="54">
        <f>H$88*480/7000</f>
        <v>6.8571428571428575E-2</v>
      </c>
      <c r="I86" s="54">
        <f>I$89*12*480/7000</f>
        <v>0.82285714285714284</v>
      </c>
      <c r="J86" s="54">
        <f>J$90/1000/0.45359237/1000</f>
        <v>2.204622621848776E-6</v>
      </c>
      <c r="K86" s="54">
        <f>K$91/0.45359237/1000</f>
        <v>2.2046226218487759E-3</v>
      </c>
      <c r="L86" s="54">
        <f>L$92/0.45359237</f>
        <v>2.2046226218487757</v>
      </c>
      <c r="M86" s="40">
        <f>M$93*1000*1000/28.349523125/16</f>
        <v>2204.6226218487759</v>
      </c>
      <c r="N86" s="41" t="s">
        <v>158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159" s="2" customFormat="1" ht="15.75" thickBot="1" x14ac:dyDescent="0.25">
      <c r="A87" s="169"/>
      <c r="B87" s="22" t="s">
        <v>159</v>
      </c>
      <c r="C87" s="22"/>
      <c r="D87" s="55">
        <f>D$84/7000/2000</f>
        <v>7.1428571428571437E-8</v>
      </c>
      <c r="E87" s="55">
        <f>E$85/16/2000</f>
        <v>3.1250000000000001E-5</v>
      </c>
      <c r="F87" s="55">
        <f>F$86/2000</f>
        <v>5.0000000000000001E-4</v>
      </c>
      <c r="G87" s="25">
        <v>1</v>
      </c>
      <c r="H87" s="55">
        <f>H$88*480/7000/2000</f>
        <v>3.428571428571429E-5</v>
      </c>
      <c r="I87" s="55">
        <f>I$89*12*480/7000/2000</f>
        <v>4.1142857142857143E-4</v>
      </c>
      <c r="J87" s="55">
        <f>J$90/1000/1000/0.45359237/2000</f>
        <v>1.1023113109243877E-9</v>
      </c>
      <c r="K87" s="55">
        <f>K$91/0.45359237/1000/2000</f>
        <v>1.102311310924388E-6</v>
      </c>
      <c r="L87" s="55">
        <f>L$92/0.45359237/2000</f>
        <v>1.1023113109243879E-3</v>
      </c>
      <c r="M87" s="56">
        <f>M$93*1000*1000/28.349523125/16/2000</f>
        <v>1.1023113109243881</v>
      </c>
      <c r="N87" s="43" t="s">
        <v>159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159" ht="33" x14ac:dyDescent="0.2">
      <c r="A88" s="172" t="s">
        <v>160</v>
      </c>
      <c r="B88" s="9" t="s">
        <v>161</v>
      </c>
      <c r="D88" s="11">
        <f>D$84/480</f>
        <v>2.0833333333333333E-3</v>
      </c>
      <c r="E88" s="11">
        <f>E$85/16*7000/480</f>
        <v>0.91145833333333337</v>
      </c>
      <c r="F88" s="11">
        <f>F$86*7000/480</f>
        <v>14.583333333333334</v>
      </c>
      <c r="G88" s="11">
        <f>G$87*2000*7000/480</f>
        <v>29166.666666666668</v>
      </c>
      <c r="H88" s="15">
        <v>1</v>
      </c>
      <c r="I88" s="11">
        <f>I$89*12</f>
        <v>12</v>
      </c>
      <c r="J88" s="11">
        <f>J$90/1000/31.1034768</f>
        <v>3.2150746568627979E-5</v>
      </c>
      <c r="K88" s="11">
        <f>K$91/31.1034768</f>
        <v>3.2150746568627979E-2</v>
      </c>
      <c r="L88" s="11">
        <f>L$92*1000/31.1034768</f>
        <v>32.15074656862798</v>
      </c>
      <c r="M88" s="12">
        <f>M$93*1000*1000/31.1034768</f>
        <v>32150.746568627983</v>
      </c>
      <c r="N88" s="39" t="s">
        <v>161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159" s="2" customFormat="1" ht="15.75" thickBot="1" x14ac:dyDescent="0.25">
      <c r="A89" s="169"/>
      <c r="B89" s="21" t="s">
        <v>162</v>
      </c>
      <c r="C89" s="22"/>
      <c r="D89" s="24">
        <f>D$84/480/12</f>
        <v>1.7361111111111112E-4</v>
      </c>
      <c r="E89" s="24">
        <f>E$85/16*7000/480/12</f>
        <v>7.5954861111111119E-2</v>
      </c>
      <c r="F89" s="24">
        <f>F$86*7000/480/12</f>
        <v>1.2152777777777779</v>
      </c>
      <c r="G89" s="24">
        <f>G$87*2000*7000/480/12</f>
        <v>2430.5555555555557</v>
      </c>
      <c r="H89" s="24">
        <f>H$88/12</f>
        <v>8.3333333333333329E-2</v>
      </c>
      <c r="I89" s="25">
        <v>1</v>
      </c>
      <c r="J89" s="24">
        <f>J$90/1000/31.1034768/12</f>
        <v>2.6792288807189983E-6</v>
      </c>
      <c r="K89" s="24">
        <f>K$91/31.1034768/12</f>
        <v>2.6792288807189982E-3</v>
      </c>
      <c r="L89" s="24">
        <f>L$92*1000/31.1034768/12</f>
        <v>2.6792288807189983</v>
      </c>
      <c r="M89" s="26">
        <f>M$93*1000*1000/31.1034768/12</f>
        <v>2679.2288807189984</v>
      </c>
      <c r="N89" s="42" t="s">
        <v>162</v>
      </c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159" ht="41.25" x14ac:dyDescent="0.2">
      <c r="A90" s="172" t="s">
        <v>46</v>
      </c>
      <c r="B90" s="1" t="s">
        <v>163</v>
      </c>
      <c r="D90" s="54">
        <f>D$84*0.06479891*1000</f>
        <v>64.798910000000006</v>
      </c>
      <c r="E90" s="54">
        <f>E$85*28.349523125*1000</f>
        <v>28349.523125</v>
      </c>
      <c r="F90" s="54">
        <f>F$86*0.45359237*1000*1000</f>
        <v>453592.37</v>
      </c>
      <c r="G90" s="54">
        <f>G$87*2000*0.45359237*1000*1000</f>
        <v>907184740</v>
      </c>
      <c r="H90" s="54">
        <f>H$88*480/7000*16*28.349523125*1000</f>
        <v>31103.476800000004</v>
      </c>
      <c r="I90" s="54">
        <f>I$89*12*480/7000*16*28.349523125*1000</f>
        <v>373241.72159999999</v>
      </c>
      <c r="J90" s="15">
        <v>1</v>
      </c>
      <c r="K90" s="54">
        <f>K$91*1000</f>
        <v>1000</v>
      </c>
      <c r="L90" s="54">
        <f>L$92*1000*1000</f>
        <v>1000000</v>
      </c>
      <c r="M90" s="40">
        <f>M$93*1000*1000*1000</f>
        <v>1000000000</v>
      </c>
      <c r="N90" s="41" t="s">
        <v>163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159" x14ac:dyDescent="0.2">
      <c r="A91" s="168"/>
      <c r="B91" s="1" t="s">
        <v>164</v>
      </c>
      <c r="D91" s="54">
        <f>D$84*0.06479891</f>
        <v>6.4798910000000001E-2</v>
      </c>
      <c r="E91" s="54">
        <f>E$85*28.349523125</f>
        <v>28.349523125000001</v>
      </c>
      <c r="F91" s="54">
        <f>F$86*0.45359237*1000</f>
        <v>453.59237000000002</v>
      </c>
      <c r="G91" s="54">
        <f>G$87*2000*0.45359237*1000</f>
        <v>907184.74</v>
      </c>
      <c r="H91" s="54">
        <f>H$88*480/7000*16*28.349523125</f>
        <v>31.103476800000003</v>
      </c>
      <c r="I91" s="54">
        <f>I$89*12*480/7000*16*28.349523125</f>
        <v>373.24172160000001</v>
      </c>
      <c r="J91" s="54">
        <f>J$90/1000</f>
        <v>1E-3</v>
      </c>
      <c r="K91" s="15">
        <v>1</v>
      </c>
      <c r="L91" s="54">
        <f>L$92*1000</f>
        <v>1000</v>
      </c>
      <c r="M91" s="40">
        <f>M$93*1000*1000</f>
        <v>1000000</v>
      </c>
      <c r="N91" s="41" t="s">
        <v>164</v>
      </c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159" x14ac:dyDescent="0.2">
      <c r="A92" s="168"/>
      <c r="B92" s="9" t="s">
        <v>165</v>
      </c>
      <c r="D92" s="11">
        <f>D$84*0.06479891/1000</f>
        <v>6.4798909999999995E-5</v>
      </c>
      <c r="E92" s="11">
        <f>E$85*28.349523125/1000</f>
        <v>2.8349523125000001E-2</v>
      </c>
      <c r="F92" s="11">
        <f>F$86*0.45359237</f>
        <v>0.45359237000000002</v>
      </c>
      <c r="G92" s="11">
        <f>G$87*2000*0.45359237</f>
        <v>907.18474000000003</v>
      </c>
      <c r="H92" s="11">
        <f>H$88*480/7000*16*28.349523125/1000</f>
        <v>3.1103476800000002E-2</v>
      </c>
      <c r="I92" s="11">
        <f>I$89*12*480/7000*16*28.349523125/1000</f>
        <v>0.37324172160000002</v>
      </c>
      <c r="J92" s="11">
        <f>J$90/1000/1000</f>
        <v>9.9999999999999995E-7</v>
      </c>
      <c r="K92" s="11">
        <f>K$91/1000</f>
        <v>1E-3</v>
      </c>
      <c r="L92" s="15">
        <v>1</v>
      </c>
      <c r="M92" s="12">
        <f>M$93*1000</f>
        <v>1000</v>
      </c>
      <c r="N92" s="39" t="s">
        <v>165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159" s="2" customFormat="1" ht="15.75" thickBot="1" x14ac:dyDescent="0.25">
      <c r="A93" s="169"/>
      <c r="B93" s="21" t="s">
        <v>166</v>
      </c>
      <c r="C93" s="22"/>
      <c r="D93" s="24">
        <f>D$84*0.06479891/1000/1000</f>
        <v>6.4798909999999988E-8</v>
      </c>
      <c r="E93" s="24">
        <f>E$85*28.349523125/1000/1000</f>
        <v>2.8349523125000003E-5</v>
      </c>
      <c r="F93" s="24">
        <f>F$86*0.45359237/1000</f>
        <v>4.5359237000000004E-4</v>
      </c>
      <c r="G93" s="24">
        <f>G$87*2*0.45359237</f>
        <v>0.90718474000000004</v>
      </c>
      <c r="H93" s="24">
        <f>H$88*480/7000*16*28.349523125/1000/1000</f>
        <v>3.1103476799999998E-5</v>
      </c>
      <c r="I93" s="24">
        <f>I$89*12*480/7000*16*28.349523125/1000/1000</f>
        <v>3.7324172160000004E-4</v>
      </c>
      <c r="J93" s="24">
        <f>J$90/1000/1000/1000</f>
        <v>9.9999999999999986E-10</v>
      </c>
      <c r="K93" s="24">
        <f>K$91/1000/1000</f>
        <v>9.9999999999999995E-7</v>
      </c>
      <c r="L93" s="24">
        <f>L$92/1000</f>
        <v>1E-3</v>
      </c>
      <c r="M93" s="34">
        <v>1</v>
      </c>
      <c r="N93" s="42" t="s">
        <v>166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159" x14ac:dyDescent="0.2">
      <c r="A94" s="184"/>
      <c r="D94" s="1" t="s">
        <v>167</v>
      </c>
    </row>
    <row r="95" spans="1:159" x14ac:dyDescent="0.2">
      <c r="A95" s="184"/>
      <c r="D95" s="1" t="s">
        <v>168</v>
      </c>
    </row>
    <row r="96" spans="1:159" ht="15.75" thickBot="1" x14ac:dyDescent="0.25">
      <c r="A96" s="184"/>
    </row>
    <row r="97" spans="1:19" s="6" customFormat="1" ht="47.25" thickTop="1" thickBot="1" x14ac:dyDescent="0.3">
      <c r="A97" s="186"/>
      <c r="B97" s="78" t="s">
        <v>169</v>
      </c>
      <c r="C97" s="36"/>
      <c r="D97" s="37" t="s">
        <v>170</v>
      </c>
      <c r="E97" s="37" t="s">
        <v>171</v>
      </c>
      <c r="F97" s="37" t="s">
        <v>172</v>
      </c>
      <c r="G97" s="37" t="s">
        <v>173</v>
      </c>
      <c r="H97" s="37" t="s">
        <v>174</v>
      </c>
      <c r="I97" s="38" t="s">
        <v>175</v>
      </c>
      <c r="J97" s="79" t="s">
        <v>169</v>
      </c>
      <c r="R97" s="5"/>
    </row>
    <row r="98" spans="1:19" s="2" customFormat="1" x14ac:dyDescent="0.2">
      <c r="A98" s="187"/>
      <c r="B98" s="51" t="s">
        <v>176</v>
      </c>
      <c r="D98" s="15">
        <v>1</v>
      </c>
      <c r="E98" s="11">
        <f>E$99*1000</f>
        <v>1000</v>
      </c>
      <c r="F98" s="11">
        <f>F$100*745.69987158227</f>
        <v>745.69987158227002</v>
      </c>
      <c r="G98" s="11">
        <f>G$101*746</f>
        <v>746</v>
      </c>
      <c r="H98" s="11">
        <f>H$102*1055.05585262/3600</f>
        <v>0.29307107017222223</v>
      </c>
      <c r="I98" s="12">
        <f>I$103*1.3558179483314</f>
        <v>1.3558179483313999</v>
      </c>
      <c r="J98" s="39" t="s">
        <v>176</v>
      </c>
    </row>
    <row r="99" spans="1:19" x14ac:dyDescent="0.2">
      <c r="A99" s="184"/>
      <c r="B99" s="9" t="s">
        <v>177</v>
      </c>
      <c r="D99" s="11">
        <f>D$98/1000</f>
        <v>1E-3</v>
      </c>
      <c r="E99" s="15">
        <v>1</v>
      </c>
      <c r="F99" s="11">
        <f>F$100*745.69987158227/1000</f>
        <v>0.74569987158227002</v>
      </c>
      <c r="G99" s="11">
        <f>G$101*746/1000</f>
        <v>0.746</v>
      </c>
      <c r="H99" s="11">
        <f>H$102*1055.05585262/3600/1000</f>
        <v>2.930710701722222E-4</v>
      </c>
      <c r="I99" s="12">
        <f>I$103*1.3558179483314/1000</f>
        <v>1.3558179483314E-3</v>
      </c>
      <c r="J99" s="39" t="s">
        <v>177</v>
      </c>
      <c r="M99" s="16"/>
      <c r="N99" s="16"/>
      <c r="O99" s="16"/>
      <c r="P99" s="16"/>
      <c r="Q99" s="16"/>
      <c r="R99" s="16"/>
      <c r="S99" s="16"/>
    </row>
    <row r="100" spans="1:19" x14ac:dyDescent="0.2">
      <c r="A100" s="184"/>
      <c r="B100" s="1" t="s">
        <v>178</v>
      </c>
      <c r="D100" s="54">
        <f>D$98/745.69987158227</f>
        <v>1.3410220895950283E-3</v>
      </c>
      <c r="E100" s="54">
        <f>E$99*1000/745.69987158227</f>
        <v>1.3410220895950282</v>
      </c>
      <c r="F100" s="15">
        <v>1</v>
      </c>
      <c r="G100" s="54">
        <f>G$101*746/745.69987158227</f>
        <v>1.0004024788378911</v>
      </c>
      <c r="H100" s="54">
        <f>H$102*1055.05585262/3600/745.69987158227</f>
        <v>3.9301477892220464E-4</v>
      </c>
      <c r="I100" s="40">
        <f>I$103/550</f>
        <v>1.8181818181818182E-3</v>
      </c>
      <c r="J100" s="41" t="s">
        <v>178</v>
      </c>
      <c r="M100" s="16"/>
      <c r="N100" s="16"/>
      <c r="O100" s="16"/>
      <c r="P100" s="16"/>
      <c r="Q100" s="16"/>
      <c r="R100" s="16"/>
      <c r="S100" s="16"/>
    </row>
    <row r="101" spans="1:19" x14ac:dyDescent="0.2">
      <c r="A101" s="184"/>
      <c r="B101" s="1" t="s">
        <v>179</v>
      </c>
      <c r="D101" s="54">
        <f>D$98/746</f>
        <v>1.3404825737265416E-3</v>
      </c>
      <c r="E101" s="54">
        <f>E$99*1000/746</f>
        <v>1.3404825737265416</v>
      </c>
      <c r="F101" s="54">
        <f>F$100*745.69987158227/746</f>
        <v>0.99959768308615282</v>
      </c>
      <c r="G101" s="15">
        <v>1</v>
      </c>
      <c r="H101" s="54">
        <f>H$102*1055.05585262/3600/746</f>
        <v>3.9285666242925231E-4</v>
      </c>
      <c r="I101" s="40">
        <f>I$103*1.3558179483314/746</f>
        <v>1.817450332883914E-3</v>
      </c>
      <c r="J101" s="41" t="s">
        <v>179</v>
      </c>
      <c r="M101" s="16"/>
      <c r="N101" s="16"/>
      <c r="O101" s="16"/>
      <c r="P101" s="16"/>
      <c r="Q101" s="16"/>
      <c r="R101" s="16"/>
      <c r="S101" s="16"/>
    </row>
    <row r="102" spans="1:19" x14ac:dyDescent="0.2">
      <c r="A102" s="184"/>
      <c r="B102" s="9" t="s">
        <v>180</v>
      </c>
      <c r="D102" s="11">
        <f>D$98/1055.05585262*3600</f>
        <v>3.4121416331279422</v>
      </c>
      <c r="E102" s="11">
        <f>E$99*1000/1055.05585262*3600</f>
        <v>3412.141633127942</v>
      </c>
      <c r="F102" s="11">
        <f>F$100*745.69987158227/1055.05585262*3600</f>
        <v>2544.4335776440234</v>
      </c>
      <c r="G102" s="11">
        <f>G$101*746/1055.05585262*3600</f>
        <v>2545.4576583134444</v>
      </c>
      <c r="H102" s="15">
        <v>1</v>
      </c>
      <c r="I102" s="12">
        <f>I$103*1.3558179483314/1055.05585262*3600</f>
        <v>4.6262428684436783</v>
      </c>
      <c r="J102" s="39" t="s">
        <v>180</v>
      </c>
      <c r="M102" s="16"/>
      <c r="N102" s="16"/>
      <c r="O102" s="16"/>
      <c r="P102" s="16"/>
      <c r="Q102" s="16"/>
      <c r="R102" s="16"/>
      <c r="S102" s="16"/>
    </row>
    <row r="103" spans="1:19" s="2" customFormat="1" ht="15.75" thickBot="1" x14ac:dyDescent="0.25">
      <c r="A103" s="185"/>
      <c r="B103" s="21" t="s">
        <v>181</v>
      </c>
      <c r="C103" s="22"/>
      <c r="D103" s="24">
        <f>D$98/1.3558179483314</f>
        <v>0.7375621492772656</v>
      </c>
      <c r="E103" s="24">
        <f>E$99*1000/1.3558179483314</f>
        <v>737.56214927726569</v>
      </c>
      <c r="F103" s="24">
        <f>F$100*550</f>
        <v>550</v>
      </c>
      <c r="G103" s="24">
        <f>G$101*746/1.3558179483314</f>
        <v>550.2213633608402</v>
      </c>
      <c r="H103" s="24">
        <f>H$102*1055.05585262/3600/745.69987158227*550</f>
        <v>0.21615812840721255</v>
      </c>
      <c r="I103" s="34">
        <v>1</v>
      </c>
      <c r="J103" s="42" t="s">
        <v>181</v>
      </c>
      <c r="M103" s="28"/>
      <c r="N103" s="28"/>
      <c r="O103" s="28"/>
      <c r="P103" s="28"/>
      <c r="Q103" s="28"/>
      <c r="R103" s="28"/>
      <c r="S103" s="28"/>
    </row>
    <row r="104" spans="1:19" x14ac:dyDescent="0.2">
      <c r="A104" s="184"/>
      <c r="D104" s="1" t="s">
        <v>182</v>
      </c>
    </row>
    <row r="105" spans="1:19" x14ac:dyDescent="0.2">
      <c r="A105" s="184"/>
      <c r="D105" s="1" t="s">
        <v>183</v>
      </c>
    </row>
    <row r="106" spans="1:19" x14ac:dyDescent="0.2">
      <c r="A106" s="184"/>
      <c r="D106" s="1" t="s">
        <v>184</v>
      </c>
    </row>
    <row r="107" spans="1:19" x14ac:dyDescent="0.2">
      <c r="A107" s="184"/>
      <c r="D107" s="1" t="s">
        <v>185</v>
      </c>
    </row>
    <row r="108" spans="1:19" x14ac:dyDescent="0.2">
      <c r="A108" s="184"/>
    </row>
    <row r="109" spans="1:19" x14ac:dyDescent="0.2">
      <c r="A109" s="184"/>
    </row>
    <row r="110" spans="1:19" ht="15.75" thickBot="1" x14ac:dyDescent="0.25">
      <c r="A110" s="184"/>
    </row>
    <row r="111" spans="1:19" s="6" customFormat="1" ht="47.25" thickTop="1" thickBot="1" x14ac:dyDescent="0.3">
      <c r="A111" s="186"/>
      <c r="B111" s="78" t="s">
        <v>186</v>
      </c>
      <c r="C111" s="36"/>
      <c r="D111" s="37" t="s">
        <v>187</v>
      </c>
      <c r="E111" s="37" t="s">
        <v>188</v>
      </c>
      <c r="F111" s="37" t="s">
        <v>189</v>
      </c>
      <c r="G111" s="37" t="s">
        <v>190</v>
      </c>
      <c r="H111" s="37" t="s">
        <v>191</v>
      </c>
      <c r="I111" s="37" t="s">
        <v>192</v>
      </c>
      <c r="J111" s="37" t="s">
        <v>193</v>
      </c>
      <c r="K111" s="37" t="s">
        <v>194</v>
      </c>
      <c r="L111" s="38" t="s">
        <v>195</v>
      </c>
      <c r="M111" s="79" t="s">
        <v>186</v>
      </c>
      <c r="R111" s="5"/>
    </row>
    <row r="112" spans="1:19" s="2" customFormat="1" x14ac:dyDescent="0.2">
      <c r="A112" s="187"/>
      <c r="B112" s="51" t="s">
        <v>196</v>
      </c>
      <c r="D112" s="15">
        <v>1</v>
      </c>
      <c r="E112" s="11">
        <f>E$113*10000000</f>
        <v>10000000</v>
      </c>
      <c r="F112" s="11">
        <f>F$114*3600*10000000</f>
        <v>36000000000</v>
      </c>
      <c r="G112" s="11">
        <f>G$115*1000*3600*10000000</f>
        <v>36000000000000</v>
      </c>
      <c r="H112" s="11">
        <f>H$116*1055.05585262*10000000</f>
        <v>10550558526.200001</v>
      </c>
      <c r="I112" s="11">
        <f>I$117*105480400*10000000</f>
        <v>1054804000000000</v>
      </c>
      <c r="J112" s="11">
        <f>J$118*1.3558179483314*10000000</f>
        <v>13558179.483313998</v>
      </c>
      <c r="K112" s="11">
        <f>K$119*4.1868*10000000</f>
        <v>41868000</v>
      </c>
      <c r="L112" s="12">
        <f>L$120*1000*4.1868*10000000</f>
        <v>41868000000</v>
      </c>
      <c r="M112" s="39" t="s">
        <v>196</v>
      </c>
    </row>
    <row r="113" spans="1:25" x14ac:dyDescent="0.2">
      <c r="A113" s="184"/>
      <c r="B113" s="9" t="s">
        <v>197</v>
      </c>
      <c r="D113" s="11">
        <f>D$112/10000000</f>
        <v>9.9999999999999995E-8</v>
      </c>
      <c r="E113" s="15">
        <v>1</v>
      </c>
      <c r="F113" s="11">
        <f>F$114*3600</f>
        <v>3600</v>
      </c>
      <c r="G113" s="11">
        <f>G$115*1000*3600</f>
        <v>3600000</v>
      </c>
      <c r="H113" s="11">
        <f>H$116*1055.05585262</f>
        <v>1055.05585262</v>
      </c>
      <c r="I113" s="11">
        <f>I$117*105480400</f>
        <v>105480400</v>
      </c>
      <c r="J113" s="11">
        <f>J$118*1.3558179483314</f>
        <v>1.3558179483313999</v>
      </c>
      <c r="K113" s="11">
        <f>K$119*4.1868</f>
        <v>4.1867999999999999</v>
      </c>
      <c r="L113" s="12">
        <f>L$120*1000*4.1868</f>
        <v>4186.8</v>
      </c>
      <c r="M113" s="39" t="s">
        <v>197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x14ac:dyDescent="0.2">
      <c r="A114" s="184"/>
      <c r="B114" s="1" t="s">
        <v>198</v>
      </c>
      <c r="D114" s="54">
        <f>D$112/10000000/3600</f>
        <v>2.7777777777777777E-11</v>
      </c>
      <c r="E114" s="54">
        <f>E$113/3600</f>
        <v>2.7777777777777778E-4</v>
      </c>
      <c r="F114" s="15">
        <v>1</v>
      </c>
      <c r="G114" s="54">
        <f>G$115*1000</f>
        <v>1000</v>
      </c>
      <c r="H114" s="54">
        <f>H$116*1055.05585262/3600</f>
        <v>0.29307107017222223</v>
      </c>
      <c r="I114" s="54">
        <f>I$117*105480400/3600</f>
        <v>29300.111111111109</v>
      </c>
      <c r="J114" s="54">
        <f>J$118*1.3558179483314/3600</f>
        <v>3.7661609675872221E-4</v>
      </c>
      <c r="K114" s="54">
        <f>K$119*4.1868/3600</f>
        <v>1.163E-3</v>
      </c>
      <c r="L114" s="40">
        <f>L$120*1000*4.1868/3600</f>
        <v>1.163</v>
      </c>
      <c r="M114" s="41" t="s">
        <v>198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15.75" thickBot="1" x14ac:dyDescent="0.25">
      <c r="A115" s="185"/>
      <c r="B115" s="22" t="s">
        <v>199</v>
      </c>
      <c r="C115" s="22"/>
      <c r="D115" s="55">
        <f>D$112/10000000/3600/1000</f>
        <v>2.7777777777777778E-14</v>
      </c>
      <c r="E115" s="55">
        <f>E$113/3600/1000</f>
        <v>2.7777777777777776E-7</v>
      </c>
      <c r="F115" s="55">
        <f>F$114/1000</f>
        <v>1E-3</v>
      </c>
      <c r="G115" s="25">
        <v>1</v>
      </c>
      <c r="H115" s="55">
        <f>H$116*1055.05585262/3600/1000</f>
        <v>2.930710701722222E-4</v>
      </c>
      <c r="I115" s="55">
        <f>I$117*105480400/3600/1000</f>
        <v>29.300111111111111</v>
      </c>
      <c r="J115" s="55">
        <f>J$118*1.3558179483314/3600/1000</f>
        <v>3.7661609675872221E-7</v>
      </c>
      <c r="K115" s="55">
        <f>K$119*4.1868/3600/1000</f>
        <v>1.1629999999999999E-6</v>
      </c>
      <c r="L115" s="56">
        <f>L$120*1000*4.1868/3600/1000</f>
        <v>1.163E-3</v>
      </c>
      <c r="M115" s="43" t="s">
        <v>199</v>
      </c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x14ac:dyDescent="0.2">
      <c r="A116" s="184"/>
      <c r="B116" s="9" t="s">
        <v>200</v>
      </c>
      <c r="D116" s="11">
        <f>D$112/10000000/1055.05585262</f>
        <v>9.4781712031331715E-11</v>
      </c>
      <c r="E116" s="11">
        <f>E$113/1055.05585262</f>
        <v>9.4781712031331725E-4</v>
      </c>
      <c r="F116" s="11">
        <f>F$114*3600/1055.05585262</f>
        <v>3.4121416331279417</v>
      </c>
      <c r="G116" s="11">
        <f>G$115*1000*3600/1055.05585262</f>
        <v>3412.141633127942</v>
      </c>
      <c r="H116" s="15">
        <v>1</v>
      </c>
      <c r="I116" s="11">
        <f>I$117*105480400/1055.05585262</f>
        <v>99976.128977496817</v>
      </c>
      <c r="J116" s="11">
        <f>J$118*1.3558179483314/1055.05585262</f>
        <v>1.2850674634565773E-3</v>
      </c>
      <c r="K116" s="11">
        <f>K$119*4.1868/1055.05585262</f>
        <v>3.9683207193277961E-3</v>
      </c>
      <c r="L116" s="12">
        <f>L$120*1000*4.1868/1055.05585262</f>
        <v>3.9683207193277967</v>
      </c>
      <c r="M116" s="39" t="s">
        <v>200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x14ac:dyDescent="0.2">
      <c r="A117" s="184"/>
      <c r="B117" s="9" t="s">
        <v>201</v>
      </c>
      <c r="D117" s="14">
        <f>D$112/10000000/105480400</f>
        <v>9.4804342797334858E-16</v>
      </c>
      <c r="E117" s="14">
        <f>E$113/105480400</f>
        <v>9.4804342797334867E-9</v>
      </c>
      <c r="F117" s="14">
        <f>F$114*3600/105480400</f>
        <v>3.4129563407040549E-5</v>
      </c>
      <c r="G117" s="14">
        <f>G$115*1000*3600/105480400</f>
        <v>3.4129563407040549E-2</v>
      </c>
      <c r="H117" s="11">
        <f>H$116*1055.05585262/105480400</f>
        <v>1.0002387672212088E-5</v>
      </c>
      <c r="I117" s="15">
        <v>1</v>
      </c>
      <c r="J117" s="11">
        <f>J$118*1.3558179483314/105480400</f>
        <v>1.2853742954438928E-8</v>
      </c>
      <c r="K117" s="11">
        <f>K$119*4.1868/105480400</f>
        <v>3.9692682242388161E-8</v>
      </c>
      <c r="L117" s="12">
        <f>L$120*1000*4.1868/105480400</f>
        <v>3.9692682242388159E-5</v>
      </c>
      <c r="M117" s="39" t="s">
        <v>201</v>
      </c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x14ac:dyDescent="0.2">
      <c r="A118" s="184"/>
      <c r="B118" s="1" t="s">
        <v>202</v>
      </c>
      <c r="D118" s="54">
        <f>D$112/10000000/1.3558179483314</f>
        <v>7.3756214927726558E-8</v>
      </c>
      <c r="E118" s="54">
        <f>E$113/1.3558179483314</f>
        <v>0.7375621492772656</v>
      </c>
      <c r="F118" s="54">
        <f>F$114*3600/1.3558179483314</f>
        <v>2655.2237373981561</v>
      </c>
      <c r="G118" s="54">
        <f>G$115*1000*3600/1.3558179483314</f>
        <v>2655223.7373981564</v>
      </c>
      <c r="H118" s="54">
        <f>H$116*1055.05585262/1.3558179483314</f>
        <v>778.16926226596524</v>
      </c>
      <c r="I118" s="54">
        <f>I$117*105480400/1.3558179483314</f>
        <v>77798350.530625686</v>
      </c>
      <c r="J118" s="15">
        <v>1</v>
      </c>
      <c r="K118" s="54">
        <f>K$119*4.1868/1.3558179483314</f>
        <v>3.0880252065940557</v>
      </c>
      <c r="L118" s="40">
        <f>L$120*1000*4.1868/1.3558179483314</f>
        <v>3088.0252065940558</v>
      </c>
      <c r="M118" s="41" t="s">
        <v>202</v>
      </c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x14ac:dyDescent="0.2">
      <c r="A119" s="184"/>
      <c r="B119" s="1" t="s">
        <v>203</v>
      </c>
      <c r="D119" s="54">
        <f>D$112/10000000/4.1868</f>
        <v>2.3884589662749594E-8</v>
      </c>
      <c r="E119" s="54">
        <f>E$113/4.1868</f>
        <v>0.23884589662749595</v>
      </c>
      <c r="F119" s="54">
        <f>F$114*3600/4.1868</f>
        <v>859.84522785898537</v>
      </c>
      <c r="G119" s="54">
        <f>G$115*1000*3600/4.1868</f>
        <v>859845.22785898542</v>
      </c>
      <c r="H119" s="54">
        <f>H$116*1055.05585262/4.1868</f>
        <v>251.99576111111111</v>
      </c>
      <c r="I119" s="54">
        <f>I$117*105480400/4.1868</f>
        <v>25193560.714626923</v>
      </c>
      <c r="J119" s="54">
        <f>J$118*1.3558179483314/4.1868</f>
        <v>0.32383155353286519</v>
      </c>
      <c r="K119" s="15">
        <v>1</v>
      </c>
      <c r="L119" s="40">
        <f>L$120*1000</f>
        <v>1000</v>
      </c>
      <c r="M119" s="41" t="s">
        <v>203</v>
      </c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s="2" customFormat="1" ht="15.75" thickBot="1" x14ac:dyDescent="0.25">
      <c r="A120" s="185"/>
      <c r="B120" s="21" t="s">
        <v>204</v>
      </c>
      <c r="C120" s="22"/>
      <c r="D120" s="24">
        <f>D$112/10000000/4.1868/1000</f>
        <v>2.3884589662749594E-11</v>
      </c>
      <c r="E120" s="24">
        <f>E$113/4.1868/1000</f>
        <v>2.3884589662749594E-4</v>
      </c>
      <c r="F120" s="24">
        <f>F$114*3600/4.1868/1000</f>
        <v>0.85984522785898532</v>
      </c>
      <c r="G120" s="24">
        <f>G$115*1000*3600/4.1868/1000</f>
        <v>859.84522785898548</v>
      </c>
      <c r="H120" s="24">
        <f>H$116*1055.05585262/4.1868/1000</f>
        <v>0.25199576111111111</v>
      </c>
      <c r="I120" s="24">
        <f>I$117*105480400/4.1868/1000</f>
        <v>25193.560714626925</v>
      </c>
      <c r="J120" s="24">
        <f>J$118*1.3558179483314/4.1868/1000</f>
        <v>3.2383155353286517E-4</v>
      </c>
      <c r="K120" s="24">
        <f>K$119/1000</f>
        <v>1E-3</v>
      </c>
      <c r="L120" s="34">
        <v>1</v>
      </c>
      <c r="M120" s="42" t="s">
        <v>204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:25" x14ac:dyDescent="0.2">
      <c r="A121" s="184"/>
      <c r="D121" s="1" t="s">
        <v>205</v>
      </c>
    </row>
    <row r="122" spans="1:25" x14ac:dyDescent="0.2">
      <c r="A122" s="184"/>
      <c r="D122" s="1" t="s">
        <v>206</v>
      </c>
    </row>
    <row r="123" spans="1:25" x14ac:dyDescent="0.2">
      <c r="A123" s="184"/>
    </row>
    <row r="124" spans="1:25" x14ac:dyDescent="0.2">
      <c r="A124" s="184"/>
      <c r="D124" s="1" t="s">
        <v>207</v>
      </c>
    </row>
    <row r="125" spans="1:25" ht="15.75" thickBot="1" x14ac:dyDescent="0.25">
      <c r="A125" s="184"/>
    </row>
    <row r="126" spans="1:25" s="6" customFormat="1" ht="32.25" thickTop="1" thickBot="1" x14ac:dyDescent="0.3">
      <c r="A126" s="186"/>
      <c r="B126" s="78" t="s">
        <v>208</v>
      </c>
      <c r="C126" s="36"/>
      <c r="D126" s="37" t="s">
        <v>209</v>
      </c>
      <c r="E126" s="37" t="s">
        <v>210</v>
      </c>
      <c r="F126" s="37" t="s">
        <v>211</v>
      </c>
      <c r="G126" s="37" t="s">
        <v>212</v>
      </c>
      <c r="H126" s="38" t="s">
        <v>154</v>
      </c>
      <c r="I126" s="79" t="s">
        <v>208</v>
      </c>
      <c r="R126" s="5"/>
    </row>
    <row r="127" spans="1:25" s="2" customFormat="1" x14ac:dyDescent="0.2">
      <c r="A127" s="187"/>
      <c r="B127" s="51" t="s">
        <v>213</v>
      </c>
      <c r="D127" s="15">
        <v>1</v>
      </c>
      <c r="E127" s="11">
        <f>E$128*16</f>
        <v>16</v>
      </c>
      <c r="F127" s="11">
        <f>F$129/4.4482216152605/100000*16</f>
        <v>3.5969430895953678E-5</v>
      </c>
      <c r="G127" s="11">
        <f>G$130/4.4482216152605*16</f>
        <v>3.596943089595368</v>
      </c>
      <c r="H127" s="12">
        <f>H$131*9.80665/4.4482216152605*16</f>
        <v>35.273961949580411</v>
      </c>
      <c r="I127" s="39" t="s">
        <v>213</v>
      </c>
    </row>
    <row r="128" spans="1:25" s="2" customFormat="1" x14ac:dyDescent="0.2">
      <c r="A128" s="187"/>
      <c r="B128" s="51" t="s">
        <v>214</v>
      </c>
      <c r="D128" s="11">
        <f>D$127/16</f>
        <v>6.25E-2</v>
      </c>
      <c r="E128" s="15">
        <v>1</v>
      </c>
      <c r="F128" s="11">
        <f>F$129/4.4482216152605/100000</f>
        <v>2.2480894309971049E-6</v>
      </c>
      <c r="G128" s="11">
        <f>G$130/4.4482216152605</f>
        <v>0.2248089430997105</v>
      </c>
      <c r="H128" s="12">
        <f>H$131*9.80665/4.4482216152605</f>
        <v>2.2046226218487757</v>
      </c>
      <c r="I128" s="39" t="s">
        <v>214</v>
      </c>
      <c r="M128" s="16"/>
      <c r="N128" s="16"/>
      <c r="O128" s="16"/>
      <c r="P128" s="16"/>
      <c r="Q128" s="16"/>
      <c r="R128" s="16"/>
      <c r="S128" s="16"/>
      <c r="T128" s="16"/>
    </row>
    <row r="129" spans="1:29" s="2" customFormat="1" x14ac:dyDescent="0.2">
      <c r="A129" s="187"/>
      <c r="B129" s="2" t="s">
        <v>215</v>
      </c>
      <c r="D129" s="54">
        <f>D$127/16*4.4482216152605*100000</f>
        <v>27801.385095378122</v>
      </c>
      <c r="E129" s="54">
        <f>E$128*4.4482216152605*100000</f>
        <v>444822.16152604995</v>
      </c>
      <c r="F129" s="15">
        <v>1</v>
      </c>
      <c r="G129" s="54">
        <f>G$130*100000</f>
        <v>100000</v>
      </c>
      <c r="H129" s="40">
        <f>H$131*9.80665*100000</f>
        <v>980665</v>
      </c>
      <c r="I129" s="41" t="s">
        <v>215</v>
      </c>
      <c r="M129" s="16"/>
      <c r="N129" s="16"/>
      <c r="O129" s="16"/>
      <c r="P129" s="16"/>
      <c r="Q129" s="16"/>
      <c r="R129" s="16"/>
      <c r="S129" s="16"/>
      <c r="T129" s="16"/>
    </row>
    <row r="130" spans="1:29" s="2" customFormat="1" x14ac:dyDescent="0.2">
      <c r="A130" s="187"/>
      <c r="B130" s="2" t="s">
        <v>216</v>
      </c>
      <c r="D130" s="54">
        <f>D$127/16*4.4482216152605</f>
        <v>0.27801385095378123</v>
      </c>
      <c r="E130" s="54">
        <f>E$128*4.4482216152605</f>
        <v>4.4482216152604996</v>
      </c>
      <c r="F130" s="54">
        <f>F$129/100000</f>
        <v>1.0000000000000001E-5</v>
      </c>
      <c r="G130" s="15">
        <v>1</v>
      </c>
      <c r="H130" s="40">
        <f>H$131*9.80665</f>
        <v>9.8066499999999994</v>
      </c>
      <c r="I130" s="41" t="s">
        <v>216</v>
      </c>
      <c r="M130" s="16"/>
      <c r="N130" s="16"/>
      <c r="O130" s="16"/>
      <c r="P130" s="16"/>
      <c r="Q130" s="16"/>
      <c r="R130" s="16"/>
      <c r="S130" s="16"/>
      <c r="T130" s="16"/>
    </row>
    <row r="131" spans="1:29" s="2" customFormat="1" ht="15.75" thickBot="1" x14ac:dyDescent="0.25">
      <c r="A131" s="185"/>
      <c r="B131" s="21" t="s">
        <v>217</v>
      </c>
      <c r="C131" s="22"/>
      <c r="D131" s="24">
        <f>D$127/16*4.4482216152605/9.80665</f>
        <v>2.8349523124999998E-2</v>
      </c>
      <c r="E131" s="24">
        <f>E$128*4.4482216152605/9.80665</f>
        <v>0.45359236999999997</v>
      </c>
      <c r="F131" s="24">
        <f>F$129/100000/9.80665</f>
        <v>1.0197162129779284E-6</v>
      </c>
      <c r="G131" s="24">
        <f>G$130/9.80665</f>
        <v>0.10197162129779283</v>
      </c>
      <c r="H131" s="34">
        <v>1</v>
      </c>
      <c r="I131" s="42" t="s">
        <v>217</v>
      </c>
      <c r="M131" s="28"/>
      <c r="N131" s="28"/>
      <c r="O131" s="28"/>
      <c r="P131" s="28"/>
      <c r="Q131" s="28"/>
      <c r="R131" s="28"/>
      <c r="S131" s="28"/>
      <c r="T131" s="28"/>
    </row>
    <row r="132" spans="1:29" x14ac:dyDescent="0.2">
      <c r="A132" s="184"/>
      <c r="D132" s="1" t="s">
        <v>218</v>
      </c>
    </row>
    <row r="133" spans="1:29" x14ac:dyDescent="0.2">
      <c r="A133" s="184"/>
    </row>
    <row r="134" spans="1:29" ht="15.75" thickBot="1" x14ac:dyDescent="0.25">
      <c r="A134" s="184"/>
    </row>
    <row r="135" spans="1:29" s="6" customFormat="1" ht="32.25" thickTop="1" thickBot="1" x14ac:dyDescent="0.3">
      <c r="A135" s="186"/>
      <c r="B135" s="78" t="s">
        <v>219</v>
      </c>
      <c r="C135" s="36"/>
      <c r="D135" s="37" t="s">
        <v>220</v>
      </c>
      <c r="E135" s="37" t="s">
        <v>221</v>
      </c>
      <c r="F135" s="37" t="s">
        <v>222</v>
      </c>
      <c r="R135" s="5"/>
    </row>
    <row r="136" spans="1:29" x14ac:dyDescent="0.2">
      <c r="A136" s="184"/>
      <c r="B136" s="1" t="s">
        <v>223</v>
      </c>
      <c r="D136" s="15">
        <v>0</v>
      </c>
      <c r="E136" s="54">
        <f>E137+273.16</f>
        <v>273.16000000000003</v>
      </c>
      <c r="F136" s="18">
        <f>F137+273.16</f>
        <v>273.16000000000003</v>
      </c>
    </row>
    <row r="137" spans="1:29" x14ac:dyDescent="0.2">
      <c r="A137" s="184"/>
      <c r="B137" s="1" t="s">
        <v>224</v>
      </c>
      <c r="D137" s="18">
        <f>D136-273.16</f>
        <v>-273.16000000000003</v>
      </c>
      <c r="E137" s="15">
        <v>0</v>
      </c>
      <c r="F137" s="18">
        <f>(F138-32)/9*5</f>
        <v>0</v>
      </c>
    </row>
    <row r="138" spans="1:29" ht="15.75" thickBot="1" x14ac:dyDescent="0.25">
      <c r="A138" s="185"/>
      <c r="B138" s="22" t="s">
        <v>225</v>
      </c>
      <c r="C138" s="22"/>
      <c r="D138" s="31">
        <f>(D136-273.16)/5*9+32</f>
        <v>-459.68800000000005</v>
      </c>
      <c r="E138" s="31">
        <f>E137/5*9+32</f>
        <v>32</v>
      </c>
      <c r="F138" s="25">
        <v>32</v>
      </c>
    </row>
    <row r="139" spans="1:29" x14ac:dyDescent="0.2">
      <c r="A139" s="184"/>
      <c r="D139" s="16"/>
      <c r="E139" s="16"/>
    </row>
    <row r="140" spans="1:29" x14ac:dyDescent="0.2">
      <c r="A140" s="184"/>
      <c r="D140" s="1" t="s">
        <v>218</v>
      </c>
    </row>
    <row r="141" spans="1:29" ht="15.75" thickBot="1" x14ac:dyDescent="0.25">
      <c r="A141" s="184"/>
    </row>
    <row r="142" spans="1:29" s="6" customFormat="1" ht="31.5" thickTop="1" x14ac:dyDescent="0.25">
      <c r="A142" s="183"/>
      <c r="B142" s="5" t="s">
        <v>226</v>
      </c>
      <c r="D142" s="7" t="s">
        <v>227</v>
      </c>
      <c r="E142" s="7" t="s">
        <v>228</v>
      </c>
      <c r="F142" s="7" t="s">
        <v>229</v>
      </c>
      <c r="G142" s="7" t="s">
        <v>230</v>
      </c>
      <c r="H142" s="7" t="s">
        <v>231</v>
      </c>
      <c r="I142" s="7" t="s">
        <v>232</v>
      </c>
      <c r="J142" s="7" t="s">
        <v>233</v>
      </c>
      <c r="K142" s="7" t="s">
        <v>234</v>
      </c>
      <c r="L142" s="7" t="s">
        <v>235</v>
      </c>
      <c r="M142" s="8" t="s">
        <v>236</v>
      </c>
      <c r="N142" s="77" t="s">
        <v>226</v>
      </c>
      <c r="R142" s="5"/>
    </row>
    <row r="143" spans="1:29" ht="50.25" x14ac:dyDescent="0.2">
      <c r="A143" s="173" t="s">
        <v>39</v>
      </c>
      <c r="B143" s="9" t="s">
        <v>237</v>
      </c>
      <c r="D143" s="15">
        <v>1</v>
      </c>
      <c r="E143" s="11">
        <f>E$144*12</f>
        <v>12</v>
      </c>
      <c r="F143" s="11">
        <f>F$145*5280*12</f>
        <v>63360</v>
      </c>
      <c r="G143" s="11">
        <f>G$146/3600*5280*12</f>
        <v>17.599999999999998</v>
      </c>
      <c r="H143" s="11">
        <f>H$147*6076/3600*12</f>
        <v>20.253333333333334</v>
      </c>
      <c r="I143" s="11">
        <f>I$148/8/24/14/3600*5280*12</f>
        <v>6.5476190476190469E-3</v>
      </c>
      <c r="J143" s="11">
        <f>J$149/25.4*1000</f>
        <v>39.370078740157481</v>
      </c>
      <c r="K143" s="11">
        <f>K$150*1000*1000/25.4</f>
        <v>39370.078740157485</v>
      </c>
      <c r="L143" s="11">
        <f>L$151/3600*1000*1000/25.4</f>
        <v>10.936132983377078</v>
      </c>
      <c r="M143" s="12">
        <f>M$152*299792458*1000/25.4</f>
        <v>11802852677.165356</v>
      </c>
      <c r="N143" s="39" t="s">
        <v>237</v>
      </c>
      <c r="Q143" s="16"/>
      <c r="R143" s="16"/>
    </row>
    <row r="144" spans="1:29" x14ac:dyDescent="0.2">
      <c r="A144" s="173"/>
      <c r="B144" s="9" t="s">
        <v>238</v>
      </c>
      <c r="D144" s="11">
        <f>D$143/12</f>
        <v>8.3333333333333329E-2</v>
      </c>
      <c r="E144" s="15">
        <v>1</v>
      </c>
      <c r="F144" s="11">
        <f>F$145*5280</f>
        <v>5280</v>
      </c>
      <c r="G144" s="11">
        <f>G$146/3600*5280</f>
        <v>1.4666666666666666</v>
      </c>
      <c r="H144" s="11">
        <f>H$147*6076/3600</f>
        <v>1.6877777777777778</v>
      </c>
      <c r="I144" s="11">
        <f>I$148/8/24/14/3600*5280</f>
        <v>5.4563492063492054E-4</v>
      </c>
      <c r="J144" s="11">
        <f>J$149/25.4*1000/12</f>
        <v>3.2808398950131235</v>
      </c>
      <c r="K144" s="11">
        <f>K$150*1000*1000/25.4/12</f>
        <v>3280.8398950131236</v>
      </c>
      <c r="L144" s="11">
        <f>L$151/3600*1000*1000/25.4/12</f>
        <v>0.91134441528142318</v>
      </c>
      <c r="M144" s="12">
        <f>M$152*299792458*1000/25.4/12</f>
        <v>983571056.43044627</v>
      </c>
      <c r="N144" s="39" t="s">
        <v>239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x14ac:dyDescent="0.2">
      <c r="A145" s="173"/>
      <c r="B145" s="1" t="s">
        <v>240</v>
      </c>
      <c r="D145" s="54">
        <f>D$143/12/5280</f>
        <v>1.5782828282828283E-5</v>
      </c>
      <c r="E145" s="54">
        <f>E$144/5280</f>
        <v>1.8939393939393939E-4</v>
      </c>
      <c r="F145" s="15">
        <v>1</v>
      </c>
      <c r="G145" s="54">
        <f>G$146/3600</f>
        <v>2.7777777777777778E-4</v>
      </c>
      <c r="H145" s="54">
        <f>H$147*6076/5280/3600</f>
        <v>3.1965488215488218E-4</v>
      </c>
      <c r="I145" s="54">
        <f>I$148/8/24/14/3600</f>
        <v>1.0333994708994708E-7</v>
      </c>
      <c r="J145" s="54">
        <f>J$149/25.4*1000/12/5280</f>
        <v>6.2137119223733403E-4</v>
      </c>
      <c r="K145" s="54">
        <f>K$150*1000*1000/25.4/12/5280</f>
        <v>0.62137119223733406</v>
      </c>
      <c r="L145" s="54">
        <f>L$151/3600*1000*1000/25.4/12/5280</f>
        <v>1.7260310895481499E-4</v>
      </c>
      <c r="M145" s="40">
        <f>M$152*299792458*1000/25.4/12/5280</f>
        <v>186282.39705122088</v>
      </c>
      <c r="N145" s="41" t="s">
        <v>240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x14ac:dyDescent="0.2">
      <c r="A146" s="173"/>
      <c r="B146" s="1" t="s">
        <v>241</v>
      </c>
      <c r="D146" s="54">
        <f>D$143/12/5280*3600</f>
        <v>5.6818181818181816E-2</v>
      </c>
      <c r="E146" s="54">
        <f>E$144/5280*3600</f>
        <v>0.68181818181818177</v>
      </c>
      <c r="F146" s="54">
        <f>F$145*3600</f>
        <v>3600</v>
      </c>
      <c r="G146" s="15">
        <v>1</v>
      </c>
      <c r="H146" s="54">
        <f>H$147*6076/5280</f>
        <v>1.1507575757575759</v>
      </c>
      <c r="I146" s="54">
        <f>I$148/8/24/14</f>
        <v>3.720238095238095E-4</v>
      </c>
      <c r="J146" s="54">
        <f>J$149/25.4*1000/12/5280*3600</f>
        <v>2.2369362920544025</v>
      </c>
      <c r="K146" s="54">
        <f>K$150*1000*1000/25.4/12/5280*3600</f>
        <v>2236.9362920544027</v>
      </c>
      <c r="L146" s="54">
        <f>L$151*1000*1000/25.4/12/5280</f>
        <v>0.62137119223733406</v>
      </c>
      <c r="M146" s="40">
        <f>M$152*299792458*1000/25.4/12/5280*3600</f>
        <v>670616629.38439512</v>
      </c>
      <c r="N146" s="41" t="s">
        <v>241</v>
      </c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x14ac:dyDescent="0.2">
      <c r="A147" s="173"/>
      <c r="B147" s="9" t="s">
        <v>242</v>
      </c>
      <c r="D147" s="11">
        <f>D$143/12/6076*3600</f>
        <v>4.9374588545095452E-2</v>
      </c>
      <c r="E147" s="11">
        <f>E$144/6076*3600</f>
        <v>0.59249506254114548</v>
      </c>
      <c r="F147" s="11">
        <f>F$145*5280/6076*3600</f>
        <v>3128.373930217248</v>
      </c>
      <c r="G147" s="11">
        <f>G$146*5280/6076</f>
        <v>0.86899275839368006</v>
      </c>
      <c r="H147" s="15">
        <v>1</v>
      </c>
      <c r="I147" s="11">
        <f>I$148/8/24/14*5280/6076</f>
        <v>3.2328599642622027E-4</v>
      </c>
      <c r="J147" s="11">
        <f>J$149/25.4*1000/12/6076*3600</f>
        <v>1.9438814387832859</v>
      </c>
      <c r="K147" s="11">
        <f>K$150*1000*1000/25.4/12/6076*3600</f>
        <v>1943.8814387832858</v>
      </c>
      <c r="L147" s="11">
        <f>L$151*1000*1000/25.4/12/6076</f>
        <v>0.53996706632869051</v>
      </c>
      <c r="M147" s="12">
        <f>M$152*299792458*1000/25.4/12/6076*3600</f>
        <v>582760994.59341776</v>
      </c>
      <c r="N147" s="39" t="s">
        <v>242</v>
      </c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s="2" customFormat="1" ht="15.75" thickBot="1" x14ac:dyDescent="0.25">
      <c r="A148" s="169"/>
      <c r="B148" s="21" t="s">
        <v>243</v>
      </c>
      <c r="C148" s="22"/>
      <c r="D148" s="24">
        <f>D$143/12/5280*3600*8*24*14</f>
        <v>152.72727272727272</v>
      </c>
      <c r="E148" s="24">
        <f>E$144/5280*3600*8*24*14</f>
        <v>1832.7272727272727</v>
      </c>
      <c r="F148" s="24">
        <f>F$145*3600*8*24*14</f>
        <v>9676800</v>
      </c>
      <c r="G148" s="24">
        <f>G$146*8*24*14</f>
        <v>2688</v>
      </c>
      <c r="H148" s="24">
        <f>H$147*6076/5280*8*24*14</f>
        <v>3093.2363636363639</v>
      </c>
      <c r="I148" s="25">
        <v>1</v>
      </c>
      <c r="J148" s="24">
        <f>J$149/25.4*1000/12/5280*3600*8*24*14</f>
        <v>6012.8847530422345</v>
      </c>
      <c r="K148" s="24">
        <f>K$150*1000*1000/25.4/12/5280*3600*8*24*14</f>
        <v>6012884.7530422341</v>
      </c>
      <c r="L148" s="24">
        <f>L$151/3600*1000*1000/25.4/12/5280*3600*8*24*14</f>
        <v>1670.2457647339536</v>
      </c>
      <c r="M148" s="26">
        <f>M$152*299792458*1000/25.4/12/5280*3600*8*24*14</f>
        <v>1802617499785.2542</v>
      </c>
      <c r="N148" s="42" t="s">
        <v>243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1:29" ht="41.25" x14ac:dyDescent="0.2">
      <c r="A149" s="172" t="s">
        <v>46</v>
      </c>
      <c r="B149" s="1" t="s">
        <v>244</v>
      </c>
      <c r="D149" s="54">
        <f>D$143*25.4/1000</f>
        <v>2.5399999999999999E-2</v>
      </c>
      <c r="E149" s="54">
        <f>E$144*12*25.4/1000</f>
        <v>0.30479999999999996</v>
      </c>
      <c r="F149" s="54">
        <f>F$145*5280*12*25.4/1000</f>
        <v>1609.3440000000001</v>
      </c>
      <c r="G149" s="54">
        <f>G$146/3600*5280*12*25.4/1000</f>
        <v>0.44703999999999988</v>
      </c>
      <c r="H149" s="54">
        <f>H$147*6076/3600*12*25.4/1000</f>
        <v>0.51443466666666671</v>
      </c>
      <c r="I149" s="54">
        <f>I$148/8/24/14/3600*5280*12*25.4/1000</f>
        <v>1.6630952380952379E-4</v>
      </c>
      <c r="J149" s="15">
        <v>1</v>
      </c>
      <c r="K149" s="54">
        <f>K$150*1000</f>
        <v>1000</v>
      </c>
      <c r="L149" s="54">
        <f>L$151/3600*1000</f>
        <v>0.27777777777777779</v>
      </c>
      <c r="M149" s="40">
        <f>M$152*299792458</f>
        <v>299792458</v>
      </c>
      <c r="N149" s="41" t="s">
        <v>244</v>
      </c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9" x14ac:dyDescent="0.2">
      <c r="A150" s="168"/>
      <c r="B150" s="1" t="s">
        <v>245</v>
      </c>
      <c r="D150" s="54">
        <f>D$143*25.4/1000/1000</f>
        <v>2.5399999999999997E-5</v>
      </c>
      <c r="E150" s="54">
        <f>E$144*12*25.4/1000/1000</f>
        <v>3.0479999999999998E-4</v>
      </c>
      <c r="F150" s="54">
        <f>F$145*5280*12*25.4/1000/1000</f>
        <v>1.6093440000000001</v>
      </c>
      <c r="G150" s="54">
        <f>G$146/3600*5280*12*25.4/1000/1000</f>
        <v>4.4703999999999989E-4</v>
      </c>
      <c r="H150" s="54">
        <f>H$147*6076/3600*12*25.4/1000/1000</f>
        <v>5.1443466666666667E-4</v>
      </c>
      <c r="I150" s="54">
        <f>I$148/8/24/14/3600*5280*12*25.4/1000/1000</f>
        <v>1.6630952380952379E-7</v>
      </c>
      <c r="J150" s="54">
        <f>J$149/1000</f>
        <v>1E-3</v>
      </c>
      <c r="K150" s="15">
        <v>1</v>
      </c>
      <c r="L150" s="54">
        <f>L$151/3600</f>
        <v>2.7777777777777778E-4</v>
      </c>
      <c r="M150" s="40">
        <f>M$152*299792458/1000</f>
        <v>299792.45799999998</v>
      </c>
      <c r="N150" s="41" t="s">
        <v>245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9" s="2" customFormat="1" ht="15.75" thickBot="1" x14ac:dyDescent="0.25">
      <c r="A151" s="169"/>
      <c r="B151" s="21" t="s">
        <v>246</v>
      </c>
      <c r="C151" s="22"/>
      <c r="D151" s="24">
        <f>D$143*25.4/1000/1000*3600</f>
        <v>9.1439999999999994E-2</v>
      </c>
      <c r="E151" s="24">
        <f>E$144*12*25.4/1000/1000*3600</f>
        <v>1.09728</v>
      </c>
      <c r="F151" s="24">
        <f>F$145*5280*12*25.4/1000/1000*3600</f>
        <v>5793.6384000000007</v>
      </c>
      <c r="G151" s="24">
        <f>G$146*5280*12*25.4/1000/1000</f>
        <v>1.6093440000000001</v>
      </c>
      <c r="H151" s="24">
        <f>H$147*6076*12*25.4/1000/1000</f>
        <v>1.8519647999999997</v>
      </c>
      <c r="I151" s="24">
        <f>I$148/8/24/14*5280*12*25.4/1000/1000</f>
        <v>5.9871428571428565E-4</v>
      </c>
      <c r="J151" s="24">
        <f>J$149/1000*3600</f>
        <v>3.6</v>
      </c>
      <c r="K151" s="24">
        <f>K$150*3600</f>
        <v>3600</v>
      </c>
      <c r="L151" s="25">
        <v>1</v>
      </c>
      <c r="M151" s="26">
        <f>M$152*299792458/1000*3600</f>
        <v>1079252848.8</v>
      </c>
      <c r="N151" s="42" t="s">
        <v>246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9" ht="15.75" thickBot="1" x14ac:dyDescent="0.25">
      <c r="A152" s="185"/>
      <c r="B152" s="21" t="s">
        <v>247</v>
      </c>
      <c r="C152" s="22"/>
      <c r="D152" s="24">
        <f>D$143*25.4/1000/299792458</f>
        <v>8.4725280180330612E-11</v>
      </c>
      <c r="E152" s="24">
        <f>E$144*12*25.4/1000/299792458</f>
        <v>1.0167033621639672E-9</v>
      </c>
      <c r="F152" s="24">
        <f>F$145*5280*12*25.4/1000/299792458</f>
        <v>5.3681937522257486E-6</v>
      </c>
      <c r="G152" s="24">
        <f>G$146/3600*5280*12*25.4/1000/299792458</f>
        <v>1.4911649311738186E-9</v>
      </c>
      <c r="H152" s="24">
        <f>H$147*6076/3600*12*25.4/1000/299792458</f>
        <v>1.7159693412522962E-9</v>
      </c>
      <c r="I152" s="24">
        <f>I$148/8/24/14/3600*5280*12*25.4/1000/299792458</f>
        <v>5.5474885832359324E-13</v>
      </c>
      <c r="J152" s="24">
        <f>J$149/299792458</f>
        <v>3.3356409519815204E-9</v>
      </c>
      <c r="K152" s="24">
        <f>K$150*1000/299792458</f>
        <v>3.3356409519815205E-6</v>
      </c>
      <c r="L152" s="24">
        <f>L$151/3600*1000/299792458</f>
        <v>9.2656693110597792E-10</v>
      </c>
      <c r="M152" s="34">
        <v>1</v>
      </c>
      <c r="N152" s="42" t="s">
        <v>247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9" x14ac:dyDescent="0.2">
      <c r="A153" s="184"/>
    </row>
    <row r="154" spans="1:29" x14ac:dyDescent="0.2">
      <c r="A154" s="184"/>
      <c r="D154" s="1" t="s">
        <v>218</v>
      </c>
    </row>
    <row r="155" spans="1:29" ht="15.75" thickBot="1" x14ac:dyDescent="0.25">
      <c r="A155" s="184"/>
    </row>
    <row r="156" spans="1:29" s="6" customFormat="1" ht="32.25" thickTop="1" thickBot="1" x14ac:dyDescent="0.3">
      <c r="A156" s="183"/>
      <c r="B156" s="78" t="s">
        <v>248</v>
      </c>
      <c r="C156" s="36"/>
      <c r="D156" s="36"/>
      <c r="E156" s="37" t="s">
        <v>249</v>
      </c>
      <c r="F156" s="37" t="s">
        <v>250</v>
      </c>
      <c r="G156" s="37" t="s">
        <v>251</v>
      </c>
      <c r="H156" s="37" t="s">
        <v>252</v>
      </c>
      <c r="I156" s="37" t="s">
        <v>253</v>
      </c>
      <c r="J156" s="37" t="s">
        <v>254</v>
      </c>
      <c r="K156" s="38" t="s">
        <v>255</v>
      </c>
      <c r="L156" s="85" t="s">
        <v>248</v>
      </c>
      <c r="M156" s="57"/>
      <c r="R156" s="5"/>
    </row>
    <row r="157" spans="1:29" ht="50.25" x14ac:dyDescent="0.2">
      <c r="A157" s="172" t="s">
        <v>256</v>
      </c>
      <c r="B157" s="9" t="s">
        <v>257</v>
      </c>
      <c r="C157" s="9"/>
      <c r="D157" s="9"/>
      <c r="E157" s="15">
        <v>1</v>
      </c>
      <c r="F157" s="11">
        <f>F$158*12</f>
        <v>12</v>
      </c>
      <c r="G157" s="11">
        <f>G$159/3600*5280*12</f>
        <v>17.599999999999998</v>
      </c>
      <c r="H157" s="11">
        <f>H$160*1000/25.4</f>
        <v>39.370078740157481</v>
      </c>
      <c r="I157" s="11">
        <f>I$161*1000*1000/25.4</f>
        <v>39370.078740157485</v>
      </c>
      <c r="J157" s="11">
        <f>J$162/3600*1000*1000/25.4</f>
        <v>10.936132983377078</v>
      </c>
      <c r="K157" s="12">
        <f>K$163*9.80665*1000/25.4</f>
        <v>386.08858267716533</v>
      </c>
      <c r="L157" s="58" t="s">
        <v>257</v>
      </c>
      <c r="M157" s="59"/>
    </row>
    <row r="158" spans="1:29" x14ac:dyDescent="0.2">
      <c r="A158" s="168"/>
      <c r="B158" s="9" t="s">
        <v>258</v>
      </c>
      <c r="C158" s="9"/>
      <c r="D158" s="9"/>
      <c r="E158" s="11">
        <f>E$157/12</f>
        <v>8.3333333333333329E-2</v>
      </c>
      <c r="F158" s="15">
        <v>1</v>
      </c>
      <c r="G158" s="11">
        <f>G$159/3600*5280</f>
        <v>1.4666666666666666</v>
      </c>
      <c r="H158" s="11">
        <f>H$160*1000/25.4/12</f>
        <v>3.2808398950131235</v>
      </c>
      <c r="I158" s="11">
        <f>I$161*1000*1000/25.4/12</f>
        <v>3280.8398950131236</v>
      </c>
      <c r="J158" s="11">
        <f>J$162/3600*1000*1000/25.4/12</f>
        <v>0.91134441528142318</v>
      </c>
      <c r="K158" s="12">
        <f>K$163*9.80665*1000/25.4/12</f>
        <v>32.174048556430442</v>
      </c>
      <c r="L158" s="58" t="s">
        <v>258</v>
      </c>
      <c r="M158" s="59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9" ht="15.75" thickBot="1" x14ac:dyDescent="0.25">
      <c r="A159" s="169"/>
      <c r="B159" s="22" t="s">
        <v>259</v>
      </c>
      <c r="C159" s="22"/>
      <c r="D159" s="22"/>
      <c r="E159" s="55">
        <f>E$157/12/5280*3600</f>
        <v>5.6818181818181816E-2</v>
      </c>
      <c r="F159" s="55">
        <f>F$158/5280*3600</f>
        <v>0.68181818181818177</v>
      </c>
      <c r="G159" s="25">
        <v>1</v>
      </c>
      <c r="H159" s="55">
        <f>H$160*1000/25.4/12/5280*3600</f>
        <v>2.2369362920544025</v>
      </c>
      <c r="I159" s="55">
        <f>I$161*1000*1000/25.4/12/5280*3600</f>
        <v>2236.9362920544027</v>
      </c>
      <c r="J159" s="55">
        <f>J$162*1000*1000/25.4/12/5280</f>
        <v>0.62137119223733406</v>
      </c>
      <c r="K159" s="56">
        <f>K$163*9.80665*1000/25.4/12/5280*3600</f>
        <v>21.936851288475303</v>
      </c>
      <c r="L159" s="60" t="s">
        <v>259</v>
      </c>
      <c r="M159" s="61"/>
      <c r="R159" s="16"/>
      <c r="S159" s="16"/>
      <c r="T159" s="16"/>
      <c r="U159" s="16"/>
      <c r="V159" s="16"/>
      <c r="W159" s="16"/>
      <c r="X159" s="16"/>
      <c r="Y159" s="16"/>
    </row>
    <row r="160" spans="1:29" ht="41.25" x14ac:dyDescent="0.2">
      <c r="A160" s="172" t="s">
        <v>46</v>
      </c>
      <c r="B160" s="1" t="s">
        <v>260</v>
      </c>
      <c r="E160" s="54">
        <f>E$157*25.4/1000</f>
        <v>2.5399999999999999E-2</v>
      </c>
      <c r="F160" s="54">
        <f>F$158*12*25.4/1000</f>
        <v>0.30479999999999996</v>
      </c>
      <c r="G160" s="54">
        <f>G$159/3600*5280*12*25.4/1000</f>
        <v>0.44703999999999988</v>
      </c>
      <c r="H160" s="15">
        <v>1</v>
      </c>
      <c r="I160" s="54">
        <f>I$161*1000</f>
        <v>1000</v>
      </c>
      <c r="J160" s="54">
        <f>J$162/3600*1000</f>
        <v>0.27777777777777779</v>
      </c>
      <c r="K160" s="40">
        <f>K$163*9.80665</f>
        <v>9.8066499999999994</v>
      </c>
      <c r="L160" s="62" t="s">
        <v>260</v>
      </c>
      <c r="M160" s="59"/>
      <c r="R160" s="16"/>
      <c r="S160" s="16"/>
      <c r="T160" s="16"/>
      <c r="U160" s="16"/>
      <c r="V160" s="16"/>
      <c r="W160" s="16"/>
      <c r="X160" s="16"/>
      <c r="Y160" s="16"/>
    </row>
    <row r="161" spans="1:25" x14ac:dyDescent="0.2">
      <c r="A161" s="168"/>
      <c r="B161" s="9" t="s">
        <v>261</v>
      </c>
      <c r="C161" s="9"/>
      <c r="D161" s="9"/>
      <c r="E161" s="11">
        <f>E$157*25.4/1000/1000</f>
        <v>2.5399999999999997E-5</v>
      </c>
      <c r="F161" s="11">
        <f>F$158*12*25.4/1000/1000</f>
        <v>3.0479999999999998E-4</v>
      </c>
      <c r="G161" s="11">
        <f>G$159/3600*5280*12*25.4/1000/1000</f>
        <v>4.4703999999999989E-4</v>
      </c>
      <c r="H161" s="11">
        <f>H$160/1000</f>
        <v>1E-3</v>
      </c>
      <c r="I161" s="15">
        <v>1</v>
      </c>
      <c r="J161" s="11">
        <f>J$162/3600</f>
        <v>2.7777777777777778E-4</v>
      </c>
      <c r="K161" s="12">
        <f>K$163*9.80665/1000</f>
        <v>9.8066500000000001E-3</v>
      </c>
      <c r="L161" s="58" t="s">
        <v>261</v>
      </c>
      <c r="M161" s="59"/>
      <c r="R161" s="16"/>
      <c r="S161" s="16"/>
      <c r="T161" s="16"/>
      <c r="U161" s="16"/>
      <c r="V161" s="16"/>
      <c r="W161" s="16"/>
      <c r="X161" s="16"/>
      <c r="Y161" s="16"/>
    </row>
    <row r="162" spans="1:25" ht="15.75" thickBot="1" x14ac:dyDescent="0.25">
      <c r="A162" s="169"/>
      <c r="B162" s="21" t="s">
        <v>262</v>
      </c>
      <c r="C162" s="21"/>
      <c r="D162" s="21"/>
      <c r="E162" s="24">
        <f>E$157*25.4/1000/1000*3600</f>
        <v>9.1439999999999994E-2</v>
      </c>
      <c r="F162" s="24">
        <f>F$158*12*25.4/1000/1000*3600</f>
        <v>1.09728</v>
      </c>
      <c r="G162" s="24">
        <f>G$159*5280*12*25.4/1000/1000</f>
        <v>1.6093440000000001</v>
      </c>
      <c r="H162" s="24">
        <f>H$160/1000*3600</f>
        <v>3.6</v>
      </c>
      <c r="I162" s="24">
        <f>I$161*3600</f>
        <v>3600</v>
      </c>
      <c r="J162" s="25">
        <v>1</v>
      </c>
      <c r="K162" s="26">
        <f>K$163*9.80665/1000*3600</f>
        <v>35.303939999999997</v>
      </c>
      <c r="L162" s="63" t="s">
        <v>262</v>
      </c>
      <c r="M162" s="61"/>
      <c r="R162" s="16"/>
      <c r="S162" s="16"/>
      <c r="T162" s="16"/>
      <c r="U162" s="16"/>
      <c r="V162" s="16"/>
      <c r="W162" s="16"/>
      <c r="X162" s="16"/>
      <c r="Y162" s="16"/>
    </row>
    <row r="163" spans="1:25" ht="15.75" thickBot="1" x14ac:dyDescent="0.25">
      <c r="A163" s="22"/>
      <c r="B163" s="22" t="s">
        <v>263</v>
      </c>
      <c r="C163" s="22"/>
      <c r="D163" s="22"/>
      <c r="E163" s="55">
        <f>E$157*25.4/1000/9.80665</f>
        <v>2.5900791809639378E-3</v>
      </c>
      <c r="F163" s="55">
        <f>F$158*12*25.4/1000/9.80665</f>
        <v>3.108095017156725E-2</v>
      </c>
      <c r="G163" s="55">
        <f>G$159/3600*5280*12*25.4/1000/9.80665</f>
        <v>4.5585393584965293E-2</v>
      </c>
      <c r="H163" s="55">
        <f>H$160/9.80665</f>
        <v>0.10197162129779283</v>
      </c>
      <c r="I163" s="55">
        <f>I$161*1000/9.80665</f>
        <v>101.97162129779284</v>
      </c>
      <c r="J163" s="55">
        <f>J$162/3600*1000/9.80665</f>
        <v>2.8325450360498008E-2</v>
      </c>
      <c r="K163" s="34">
        <v>1</v>
      </c>
      <c r="L163" s="60" t="s">
        <v>263</v>
      </c>
      <c r="M163" s="61"/>
      <c r="R163" s="16"/>
      <c r="S163" s="16"/>
      <c r="T163" s="16"/>
      <c r="U163" s="16"/>
      <c r="V163" s="16"/>
      <c r="W163" s="16"/>
      <c r="X163" s="16"/>
      <c r="Y163" s="16"/>
    </row>
    <row r="165" spans="1:25" x14ac:dyDescent="0.2">
      <c r="D165" s="1" t="s">
        <v>218</v>
      </c>
    </row>
    <row r="166" spans="1:25" ht="15.75" thickBot="1" x14ac:dyDescent="0.25"/>
    <row r="167" spans="1:25" s="6" customFormat="1" ht="47.25" thickTop="1" thickBot="1" x14ac:dyDescent="0.3">
      <c r="A167" s="36"/>
      <c r="B167" s="78" t="s">
        <v>264</v>
      </c>
      <c r="C167" s="36"/>
      <c r="D167" s="37" t="s">
        <v>265</v>
      </c>
      <c r="E167" s="37" t="s">
        <v>266</v>
      </c>
      <c r="F167" s="37" t="s">
        <v>267</v>
      </c>
      <c r="G167" s="37" t="s">
        <v>268</v>
      </c>
      <c r="H167" s="37" t="s">
        <v>269</v>
      </c>
      <c r="I167" s="37" t="s">
        <v>270</v>
      </c>
      <c r="J167" s="37" t="s">
        <v>271</v>
      </c>
      <c r="K167" s="37" t="s">
        <v>272</v>
      </c>
      <c r="L167" s="37" t="s">
        <v>273</v>
      </c>
      <c r="M167" s="37" t="s">
        <v>274</v>
      </c>
      <c r="N167" s="37" t="s">
        <v>275</v>
      </c>
      <c r="O167" s="37" t="s">
        <v>276</v>
      </c>
      <c r="P167" s="37" t="s">
        <v>277</v>
      </c>
      <c r="Q167" s="38" t="s">
        <v>278</v>
      </c>
      <c r="R167" s="79" t="s">
        <v>264</v>
      </c>
    </row>
    <row r="168" spans="1:25" x14ac:dyDescent="0.2">
      <c r="B168" s="1" t="s">
        <v>279</v>
      </c>
      <c r="D168" s="15">
        <v>1</v>
      </c>
      <c r="E168" s="64">
        <f>E$169*1000</f>
        <v>1000</v>
      </c>
      <c r="F168" s="64">
        <f>F$170*1000*1000</f>
        <v>1000000</v>
      </c>
      <c r="G168" s="64">
        <f>G$171*1000*1000*1000</f>
        <v>1000000000</v>
      </c>
      <c r="H168" s="18">
        <f>H$172*1000*1000*1000*1000</f>
        <v>1000000000000</v>
      </c>
      <c r="I168" s="18">
        <f>I$173*60*1000*1000*1000*1000</f>
        <v>60000000000000</v>
      </c>
      <c r="J168" s="18">
        <f>J$174*60*60*1000*1000*1000*1000</f>
        <v>3600000000000000</v>
      </c>
      <c r="K168" s="18">
        <f>K$175*24*60*60*1000*1000*1000*1000</f>
        <v>8.64E+16</v>
      </c>
      <c r="L168" s="18">
        <f>L$176*7*24*60*60*1000*1000*1000*1000</f>
        <v>6.048E+17</v>
      </c>
      <c r="M168" s="18">
        <f>M$177*14*24*60*60*1000*1000*1000*1000</f>
        <v>1.2096E+18</v>
      </c>
      <c r="N168" s="18">
        <f>N$178/12*365*24*60*60*1000*1000*1000*1000</f>
        <v>2.628E+18</v>
      </c>
      <c r="O168" s="18">
        <f>O$179*365*24*60*60*1000*1000*1000*1000</f>
        <v>3.1536E+19</v>
      </c>
      <c r="P168" s="18">
        <f>P$180*366*24*60*60*1000*1000*1000*1000</f>
        <v>3.16224E+19</v>
      </c>
      <c r="Q168" s="19">
        <f>Q$181*(365+5/24+48/60/24+46/60/60/24)*24*60*60*1000*1000*1000*1000</f>
        <v>3.1556926000000004E+19</v>
      </c>
      <c r="R168" s="41" t="s">
        <v>279</v>
      </c>
    </row>
    <row r="169" spans="1:25" x14ac:dyDescent="0.2">
      <c r="B169" s="1" t="s">
        <v>280</v>
      </c>
      <c r="D169" s="18">
        <f>D$168/1000</f>
        <v>1E-3</v>
      </c>
      <c r="E169" s="15">
        <v>1</v>
      </c>
      <c r="F169" s="64">
        <f>F$170*1000</f>
        <v>1000</v>
      </c>
      <c r="G169" s="64">
        <f>G$171*1000*1000</f>
        <v>1000000</v>
      </c>
      <c r="H169" s="64">
        <f>H$172*1000*1000*1000</f>
        <v>1000000000</v>
      </c>
      <c r="I169" s="64">
        <f>I$173*60*1000*1000*1000</f>
        <v>60000000000</v>
      </c>
      <c r="J169" s="18">
        <f>J$174*60*60*1000*1000*1000</f>
        <v>3600000000000</v>
      </c>
      <c r="K169" s="18">
        <f>K$175*24*60*60*1000*1000*1000</f>
        <v>86400000000000</v>
      </c>
      <c r="L169" s="18">
        <f>L$176*7*24*60*60*1000*1000*1000</f>
        <v>604800000000000</v>
      </c>
      <c r="M169" s="18">
        <f>M$177*14*24*60*60*1000*1000*1000</f>
        <v>1209600000000000</v>
      </c>
      <c r="N169" s="18">
        <f>N$178/12*365*24*60*60*1000*1000*1000</f>
        <v>2628000000000000</v>
      </c>
      <c r="O169" s="18">
        <f>O$179*365*24*60*60*1000*1000*1000</f>
        <v>3.1536E+16</v>
      </c>
      <c r="P169" s="18">
        <f>P$180*366*24*60*60*1000*1000*1000</f>
        <v>3.16224E+16</v>
      </c>
      <c r="Q169" s="19">
        <f>Q$181*(365+5/24+48/60/24+46/60/60/24)*24*60*60*1000*1000*1000</f>
        <v>3.1556926000000004E+16</v>
      </c>
      <c r="R169" s="41" t="s">
        <v>280</v>
      </c>
    </row>
    <row r="170" spans="1:25" x14ac:dyDescent="0.2">
      <c r="B170" s="9" t="s">
        <v>281</v>
      </c>
      <c r="D170" s="11">
        <f>D$168/1000/1000</f>
        <v>9.9999999999999995E-7</v>
      </c>
      <c r="E170" s="11">
        <f>E$169/1000</f>
        <v>1E-3</v>
      </c>
      <c r="F170" s="15">
        <v>1</v>
      </c>
      <c r="G170" s="65">
        <f>G$171*1000</f>
        <v>1000</v>
      </c>
      <c r="H170" s="65">
        <f>H$172*1000*1000</f>
        <v>1000000</v>
      </c>
      <c r="I170" s="65">
        <f>I$173*60*1000*1000</f>
        <v>60000000</v>
      </c>
      <c r="J170" s="65">
        <f>J$174*60*60*1000*1000</f>
        <v>3600000000</v>
      </c>
      <c r="K170" s="65">
        <f>K$175*24*60*60*1000*1000</f>
        <v>86400000000</v>
      </c>
      <c r="L170" s="11">
        <f>L$176*7*24*60*60*1000*1000</f>
        <v>604800000000</v>
      </c>
      <c r="M170" s="11">
        <f>M$177*14*24*60*60*1000*1000</f>
        <v>1209600000000</v>
      </c>
      <c r="N170" s="11">
        <f>N$178/12*365*24*60*60*1000*1000</f>
        <v>2628000000000</v>
      </c>
      <c r="O170" s="11">
        <f>O$179*365*24*60*60*1000*1000</f>
        <v>31536000000000</v>
      </c>
      <c r="P170" s="11">
        <f>P$180*366*24*60*60*1000*1000</f>
        <v>31622400000000</v>
      </c>
      <c r="Q170" s="12">
        <f>Q$181*(365+5/24+48/60/24+46/60/60/24)*24*60*60*1000*1000</f>
        <v>31556926000000.004</v>
      </c>
      <c r="R170" s="13" t="s">
        <v>281</v>
      </c>
    </row>
    <row r="171" spans="1:25" s="2" customFormat="1" ht="15.75" thickBot="1" x14ac:dyDescent="0.25">
      <c r="B171" s="51" t="s">
        <v>282</v>
      </c>
      <c r="D171" s="11">
        <f>D$168/1000/1000/1000</f>
        <v>9.9999999999999986E-10</v>
      </c>
      <c r="E171" s="11">
        <f>E$169/1000/1000</f>
        <v>9.9999999999999995E-7</v>
      </c>
      <c r="F171" s="11">
        <f>F$170/1000</f>
        <v>1E-3</v>
      </c>
      <c r="G171" s="15">
        <v>1</v>
      </c>
      <c r="H171" s="65">
        <f>H$172*1000</f>
        <v>1000</v>
      </c>
      <c r="I171" s="65">
        <f>I$173*60*1000</f>
        <v>60000</v>
      </c>
      <c r="J171" s="65">
        <f>J$174*60*60*1000</f>
        <v>3600000</v>
      </c>
      <c r="K171" s="65">
        <f>K$175*24*60*60*1000</f>
        <v>86400000</v>
      </c>
      <c r="L171" s="11">
        <f>L$176*7*24*60*60*1000</f>
        <v>604800000</v>
      </c>
      <c r="M171" s="65">
        <f>M$177*14*24*60*60*1000</f>
        <v>1209600000</v>
      </c>
      <c r="N171" s="11">
        <f>N$178/12*365*24*60*60*1000</f>
        <v>2628000000</v>
      </c>
      <c r="O171" s="65">
        <f>O$179*365*24*60*60*1000</f>
        <v>31536000000</v>
      </c>
      <c r="P171" s="65">
        <f>P$180*366*24*60*60*1000</f>
        <v>31622400000</v>
      </c>
      <c r="Q171" s="66">
        <f>Q$181*(365+5/24+48/60/24+46/60/60/24)*24*60*60*1000</f>
        <v>31556926000.000004</v>
      </c>
      <c r="R171" s="13" t="s">
        <v>282</v>
      </c>
    </row>
    <row r="172" spans="1:25" s="2" customFormat="1" ht="15.75" thickBot="1" x14ac:dyDescent="0.25">
      <c r="A172" s="67"/>
      <c r="B172" s="67" t="s">
        <v>283</v>
      </c>
      <c r="C172" s="67"/>
      <c r="D172" s="68">
        <f>D$168/1000/1000/1000/1000</f>
        <v>9.9999999999999978E-13</v>
      </c>
      <c r="E172" s="68">
        <f>E$169/1000/1000/1000</f>
        <v>9.9999999999999986E-10</v>
      </c>
      <c r="F172" s="68">
        <f>F$170/1000/1000</f>
        <v>9.9999999999999995E-7</v>
      </c>
      <c r="G172" s="68">
        <f>G$171/1000</f>
        <v>1E-3</v>
      </c>
      <c r="H172" s="69">
        <v>1</v>
      </c>
      <c r="I172" s="70">
        <f>I$173*60</f>
        <v>60</v>
      </c>
      <c r="J172" s="70">
        <f>J$174*60*60</f>
        <v>3600</v>
      </c>
      <c r="K172" s="70">
        <f>K$175*24*60*60</f>
        <v>86400</v>
      </c>
      <c r="L172" s="68">
        <f>L$176*7*24*60*60</f>
        <v>604800</v>
      </c>
      <c r="M172" s="70">
        <f>M$177*14*24*60*60</f>
        <v>1209600</v>
      </c>
      <c r="N172" s="68">
        <f>N$178/12*365*24*60*60</f>
        <v>2628000</v>
      </c>
      <c r="O172" s="70">
        <f>O$179*365*24*60*60</f>
        <v>31536000</v>
      </c>
      <c r="P172" s="70">
        <f>P$180*366*24*60*60</f>
        <v>31622400</v>
      </c>
      <c r="Q172" s="71">
        <f>Q$181*(365+5/24+48/60/24+46/60/60/24)*24*60*60</f>
        <v>31556926.000000004</v>
      </c>
      <c r="R172" s="72" t="s">
        <v>283</v>
      </c>
    </row>
    <row r="173" spans="1:25" x14ac:dyDescent="0.2">
      <c r="B173" s="1" t="s">
        <v>284</v>
      </c>
      <c r="D173" s="18">
        <f>D$168/1000/1000/1000/1000/60</f>
        <v>1.6666666666666664E-14</v>
      </c>
      <c r="E173" s="18">
        <f>E$169/1000/1000/1000/60</f>
        <v>1.6666666666666664E-11</v>
      </c>
      <c r="F173" s="18">
        <f>F$170/1000/1000/60</f>
        <v>1.6666666666666667E-8</v>
      </c>
      <c r="G173" s="18">
        <f>G$171/1000/60</f>
        <v>1.6666666666666667E-5</v>
      </c>
      <c r="H173" s="18">
        <f>H$172/60</f>
        <v>1.6666666666666666E-2</v>
      </c>
      <c r="I173" s="15">
        <v>1</v>
      </c>
      <c r="J173" s="64">
        <f>J$174*60</f>
        <v>60</v>
      </c>
      <c r="K173" s="64">
        <f>K$175*24*60</f>
        <v>1440</v>
      </c>
      <c r="L173" s="18">
        <f>L$176*7*24*60</f>
        <v>10080</v>
      </c>
      <c r="M173" s="64">
        <f>M$177*14*24*60</f>
        <v>20160</v>
      </c>
      <c r="N173" s="18">
        <f>N$178/12*365*24*60</f>
        <v>43800</v>
      </c>
      <c r="O173" s="64">
        <f>O$179*365*24*60</f>
        <v>525600</v>
      </c>
      <c r="P173" s="64">
        <f>P$180*366*24*60</f>
        <v>527040</v>
      </c>
      <c r="Q173" s="73">
        <f>Q$181*(365+5/24+48/60/24+46/60/60/24)*24*60</f>
        <v>525948.76666666672</v>
      </c>
      <c r="R173" s="41" t="s">
        <v>284</v>
      </c>
    </row>
    <row r="174" spans="1:25" x14ac:dyDescent="0.2">
      <c r="B174" s="9" t="s">
        <v>285</v>
      </c>
      <c r="D174" s="11">
        <f>D$168/1000/1000/1000/1000/60/60</f>
        <v>2.7777777777777775E-16</v>
      </c>
      <c r="E174" s="11">
        <f>E$169/1000/1000/1000/60/60</f>
        <v>2.7777777777777774E-13</v>
      </c>
      <c r="F174" s="11">
        <f>F$170/1000/1000/60/60</f>
        <v>2.7777777777777777E-10</v>
      </c>
      <c r="G174" s="11">
        <f>G$171/1000/60/60</f>
        <v>2.7777777777777781E-7</v>
      </c>
      <c r="H174" s="11">
        <f>H$172/60/60</f>
        <v>2.7777777777777778E-4</v>
      </c>
      <c r="I174" s="11">
        <f>I$173/60</f>
        <v>1.6666666666666666E-2</v>
      </c>
      <c r="J174" s="15">
        <v>1</v>
      </c>
      <c r="K174" s="11">
        <f>K$175*24</f>
        <v>24</v>
      </c>
      <c r="L174" s="11">
        <f>L$176*7*24</f>
        <v>168</v>
      </c>
      <c r="M174" s="11">
        <f>M$177*14*24</f>
        <v>336</v>
      </c>
      <c r="N174" s="11">
        <f>N$178/12*365*24</f>
        <v>730</v>
      </c>
      <c r="O174" s="11">
        <f>O$179*365*24</f>
        <v>8760</v>
      </c>
      <c r="P174" s="11">
        <f>P$180*366*24</f>
        <v>8784</v>
      </c>
      <c r="Q174" s="12">
        <f>Q$181*(365+5/24+48/60/24+46/60/60/24)*24</f>
        <v>8765.812777777779</v>
      </c>
      <c r="R174" s="41" t="s">
        <v>285</v>
      </c>
    </row>
    <row r="175" spans="1:25" x14ac:dyDescent="0.2">
      <c r="B175" s="9" t="s">
        <v>286</v>
      </c>
      <c r="D175" s="11">
        <f>D$168/1000/1000/1000/1000/60/60/24</f>
        <v>1.1574074074074072E-17</v>
      </c>
      <c r="E175" s="11">
        <f>E$169/1000/1000/1000/60/60/24</f>
        <v>1.1574074074074072E-14</v>
      </c>
      <c r="F175" s="11">
        <f>F$170/1000/1000/60/60/24</f>
        <v>1.1574074074074074E-11</v>
      </c>
      <c r="G175" s="11">
        <f>G$171/1000/60/60/24</f>
        <v>1.1574074074074076E-8</v>
      </c>
      <c r="H175" s="11">
        <f>H$172/60/60/24</f>
        <v>1.1574074074074073E-5</v>
      </c>
      <c r="I175" s="11">
        <f>I$173/60/24</f>
        <v>6.9444444444444447E-4</v>
      </c>
      <c r="J175" s="11">
        <f>J$174/24</f>
        <v>4.1666666666666664E-2</v>
      </c>
      <c r="K175" s="15">
        <v>1</v>
      </c>
      <c r="L175" s="11">
        <f>L$176*7</f>
        <v>7</v>
      </c>
      <c r="M175" s="11">
        <f>M$177*14</f>
        <v>14</v>
      </c>
      <c r="N175" s="11">
        <f>N$178/12*365</f>
        <v>30.416666666666664</v>
      </c>
      <c r="O175" s="11">
        <f>O$179*365</f>
        <v>365</v>
      </c>
      <c r="P175" s="11">
        <f>P$180*366</f>
        <v>366</v>
      </c>
      <c r="Q175" s="12">
        <f>Q$181*(365+5/24+48/60/24+46/60/60/24)</f>
        <v>365.24219907407411</v>
      </c>
      <c r="R175" s="41" t="s">
        <v>286</v>
      </c>
    </row>
    <row r="176" spans="1:25" x14ac:dyDescent="0.2">
      <c r="B176" s="1" t="s">
        <v>287</v>
      </c>
      <c r="D176" s="18">
        <f>D$168/1000/1000/1000/1000/60/60/24/7</f>
        <v>1.6534391534391532E-18</v>
      </c>
      <c r="E176" s="18">
        <f>E$169/1000/1000/1000/60/60/24/7</f>
        <v>1.6534391534391532E-15</v>
      </c>
      <c r="F176" s="18">
        <f>F$170/1000/1000/60/60/24/7</f>
        <v>1.6534391534391534E-12</v>
      </c>
      <c r="G176" s="18">
        <f>G$171/1000/60/60/24/7</f>
        <v>1.6534391534391537E-9</v>
      </c>
      <c r="H176" s="18">
        <f>H$172/60/60/24/7</f>
        <v>1.6534391534391533E-6</v>
      </c>
      <c r="I176" s="18">
        <f>I$173/60/24/7</f>
        <v>9.9206349206349206E-5</v>
      </c>
      <c r="J176" s="18">
        <f>J$174/24/7</f>
        <v>5.9523809523809521E-3</v>
      </c>
      <c r="K176" s="18">
        <f>K$175/7</f>
        <v>0.14285714285714285</v>
      </c>
      <c r="L176" s="15">
        <v>1</v>
      </c>
      <c r="M176" s="18">
        <f>M$177*2</f>
        <v>2</v>
      </c>
      <c r="N176" s="18">
        <f>N$178/12*365/7</f>
        <v>4.3452380952380949</v>
      </c>
      <c r="O176" s="18">
        <f>O$179*365/7</f>
        <v>52.142857142857146</v>
      </c>
      <c r="P176" s="18">
        <f>P$180*366/7</f>
        <v>52.285714285714285</v>
      </c>
      <c r="Q176" s="19">
        <f>Q$181*(365+5/24+48/60/24+46/60/60/24)/7</f>
        <v>52.177457010582017</v>
      </c>
      <c r="R176" s="41" t="s">
        <v>287</v>
      </c>
    </row>
    <row r="177" spans="1:20" x14ac:dyDescent="0.2">
      <c r="B177" s="1" t="s">
        <v>288</v>
      </c>
      <c r="D177" s="18">
        <f>D$168/1000/1000/1000/1000/60/60/24/14</f>
        <v>8.267195767195766E-19</v>
      </c>
      <c r="E177" s="18">
        <f>E$169/1000/1000/1000/60/60/24/14</f>
        <v>8.2671957671957658E-16</v>
      </c>
      <c r="F177" s="18">
        <f>F$170/1000/1000/60/60/24/14</f>
        <v>8.2671957671957671E-13</v>
      </c>
      <c r="G177" s="18">
        <f>G$171/1000/60/60/24/14</f>
        <v>8.2671957671957685E-10</v>
      </c>
      <c r="H177" s="18">
        <f>H$172/60/60/24/14</f>
        <v>8.2671957671957665E-7</v>
      </c>
      <c r="I177" s="18">
        <f>I$173/60/24/14</f>
        <v>4.9603174603174603E-5</v>
      </c>
      <c r="J177" s="18">
        <f>J$174/24/14</f>
        <v>2.976190476190476E-3</v>
      </c>
      <c r="K177" s="18">
        <f>K$175/14</f>
        <v>7.1428571428571425E-2</v>
      </c>
      <c r="L177" s="18">
        <f>L$176/2</f>
        <v>0.5</v>
      </c>
      <c r="M177" s="15">
        <v>1</v>
      </c>
      <c r="N177" s="18">
        <f>N$178/12*365/14</f>
        <v>2.1726190476190474</v>
      </c>
      <c r="O177" s="18">
        <f>O$179*365/14</f>
        <v>26.071428571428573</v>
      </c>
      <c r="P177" s="18">
        <f>P$180*366/14</f>
        <v>26.142857142857142</v>
      </c>
      <c r="Q177" s="19">
        <f>Q$181*(365+5/24+48/60/24+46/60/60/24)/14</f>
        <v>26.088728505291009</v>
      </c>
      <c r="R177" s="41" t="s">
        <v>288</v>
      </c>
    </row>
    <row r="178" spans="1:20" x14ac:dyDescent="0.2">
      <c r="B178" s="9" t="s">
        <v>289</v>
      </c>
      <c r="D178" s="74">
        <f>D$168/1000/1000/1000/1000/60/60/24/365*12</f>
        <v>3.8051750380517496E-19</v>
      </c>
      <c r="E178" s="11">
        <f>E$169/1000/1000/1000/60/60/24/365*12</f>
        <v>3.8051750380517498E-16</v>
      </c>
      <c r="F178" s="11">
        <f>F$170/1000/1000/60/60/24/365*12</f>
        <v>3.8051750380517501E-13</v>
      </c>
      <c r="G178" s="11">
        <f>G$171/1000/60/60/24/365*12</f>
        <v>3.8051750380517513E-10</v>
      </c>
      <c r="H178" s="11">
        <f>H$172/60/60/24/365*12</f>
        <v>3.8051750380517503E-7</v>
      </c>
      <c r="I178" s="11">
        <f>I$173/60/24/365*12</f>
        <v>2.2831050228310503E-5</v>
      </c>
      <c r="J178" s="11">
        <f>J$174/24/365*12</f>
        <v>1.3698630136986301E-3</v>
      </c>
      <c r="K178" s="11">
        <f>K$175/365*12</f>
        <v>3.2876712328767127E-2</v>
      </c>
      <c r="L178" s="11">
        <f>L$176*7/365*12</f>
        <v>0.23013698630136986</v>
      </c>
      <c r="M178" s="11">
        <f>M$177*14/365*12</f>
        <v>0.46027397260273972</v>
      </c>
      <c r="N178" s="15">
        <v>1</v>
      </c>
      <c r="O178" s="11">
        <f>O$179*12</f>
        <v>12</v>
      </c>
      <c r="P178" s="11">
        <f>P$180*12</f>
        <v>12</v>
      </c>
      <c r="Q178" s="12">
        <f>Q$181*12</f>
        <v>12</v>
      </c>
      <c r="R178" s="41" t="s">
        <v>290</v>
      </c>
    </row>
    <row r="179" spans="1:20" x14ac:dyDescent="0.2">
      <c r="B179" s="9" t="s">
        <v>291</v>
      </c>
      <c r="D179" s="11">
        <f>D$168/1000/1000/1000/1000/60/60/24/365</f>
        <v>3.170979198376458E-20</v>
      </c>
      <c r="E179" s="11">
        <f>E$169/1000/1000/1000/60/60/24/365</f>
        <v>3.1709791983764581E-17</v>
      </c>
      <c r="F179" s="11">
        <f>F$170/1000/1000/60/60/24/365</f>
        <v>3.1709791983764584E-14</v>
      </c>
      <c r="G179" s="11">
        <f>G$171/1000/60/60/24/365</f>
        <v>3.1709791983764592E-11</v>
      </c>
      <c r="H179" s="11">
        <f>H$172/60/60/24/365</f>
        <v>3.1709791983764586E-8</v>
      </c>
      <c r="I179" s="11">
        <f>I$173/60/24/365</f>
        <v>1.9025875190258753E-6</v>
      </c>
      <c r="J179" s="11">
        <f>J$174/24/365</f>
        <v>1.1415525114155251E-4</v>
      </c>
      <c r="K179" s="11">
        <f>K$175/365</f>
        <v>2.7397260273972603E-3</v>
      </c>
      <c r="L179" s="11">
        <f>L$176/365</f>
        <v>2.7397260273972603E-3</v>
      </c>
      <c r="M179" s="11">
        <f>M$177*14/365</f>
        <v>3.8356164383561646E-2</v>
      </c>
      <c r="N179" s="11">
        <f>N$178/12</f>
        <v>8.3333333333333329E-2</v>
      </c>
      <c r="O179" s="15">
        <v>1</v>
      </c>
      <c r="P179" s="11">
        <f>P$180*366/365</f>
        <v>1.0027397260273974</v>
      </c>
      <c r="Q179" s="12">
        <f>Q$181*(365+5/24+48/60/24+46/60/60/24)/365</f>
        <v>1.0006635591070523</v>
      </c>
      <c r="R179" s="41" t="s">
        <v>291</v>
      </c>
    </row>
    <row r="180" spans="1:20" x14ac:dyDescent="0.2">
      <c r="B180" s="1" t="s">
        <v>292</v>
      </c>
      <c r="D180" s="18">
        <f>D$168/1000/1000/1000/1000/60/60/24/366</f>
        <v>3.1623153207852657E-20</v>
      </c>
      <c r="E180" s="18">
        <f>E$169/1000/1000/1000/60/60/24/366</f>
        <v>3.1623153207852658E-17</v>
      </c>
      <c r="F180" s="18">
        <f>F$170/1000/1000/60/60/24/366</f>
        <v>3.1623153207852658E-14</v>
      </c>
      <c r="G180" s="18">
        <f>G$171/1000/60/60/24/366</f>
        <v>3.1623153207852666E-11</v>
      </c>
      <c r="H180" s="18">
        <f>H$172/60/60/24/366</f>
        <v>3.1623153207852658E-8</v>
      </c>
      <c r="I180" s="18">
        <f>I$173/60/24/366</f>
        <v>1.8973891924711598E-6</v>
      </c>
      <c r="J180" s="18">
        <f>J$174/24/366</f>
        <v>1.1384335154826958E-4</v>
      </c>
      <c r="K180" s="18">
        <f>K$175/366</f>
        <v>2.7322404371584699E-3</v>
      </c>
      <c r="L180" s="18">
        <f>L$176/366</f>
        <v>2.7322404371584699E-3</v>
      </c>
      <c r="M180" s="18">
        <f>M$177*14/366</f>
        <v>3.825136612021858E-2</v>
      </c>
      <c r="N180" s="18">
        <f>N$178/12</f>
        <v>8.3333333333333329E-2</v>
      </c>
      <c r="O180" s="18">
        <f>O$179*365/366</f>
        <v>0.99726775956284153</v>
      </c>
      <c r="P180" s="15">
        <v>1</v>
      </c>
      <c r="Q180" s="19">
        <f>Q$181*(365+5/24+48/60/24+46/60/60/24)/366</f>
        <v>0.99792950566686911</v>
      </c>
      <c r="R180" s="41" t="s">
        <v>292</v>
      </c>
    </row>
    <row r="181" spans="1:20" ht="15.75" thickBot="1" x14ac:dyDescent="0.25">
      <c r="A181" s="22"/>
      <c r="B181" s="22" t="s">
        <v>293</v>
      </c>
      <c r="C181" s="22"/>
      <c r="D181" s="31">
        <f>D$168/1000/1000/1000/1000/60/60/24/(365+5/24+48/60/24+46/60/60/24)</f>
        <v>3.1688764615412785E-20</v>
      </c>
      <c r="E181" s="31">
        <f>E$169/1000/1000/1000/60/60/24/(365+5/24+48/60/24+46/60/60/24)</f>
        <v>3.1688764615412785E-17</v>
      </c>
      <c r="F181" s="31">
        <f>F$170/1000/1000/60/60/24/(365+5/24+48/60/24+46/60/60/24)</f>
        <v>3.1688764615412787E-14</v>
      </c>
      <c r="G181" s="31">
        <f>G$171/1000/60/60/24/(365+5/24+48/60/24+46/60/60/24)</f>
        <v>3.1688764615412792E-11</v>
      </c>
      <c r="H181" s="31">
        <f>H$172/60/60/24/(365+5/24+48/60/24+46/60/60/24)</f>
        <v>3.1688764615412791E-8</v>
      </c>
      <c r="I181" s="31">
        <f>I$173/60/24/(365+5/24+48/60/24+46/60/60/24)</f>
        <v>1.9013258769247675E-6</v>
      </c>
      <c r="J181" s="31">
        <f>J$174/24/(365+5/24+48/60/24+46/60/60/24)</f>
        <v>1.1407955261548604E-4</v>
      </c>
      <c r="K181" s="31">
        <f>K$175/(365+5/24+48/60/24+46/60/60/24)</f>
        <v>2.7379092627716653E-3</v>
      </c>
      <c r="L181" s="31">
        <f>L$176/(365+5/24+48/60/24+46/60/60/24)</f>
        <v>2.7379092627716653E-3</v>
      </c>
      <c r="M181" s="31">
        <f>M$177*14/(365+5/24+48/60/24+46/60/60/24)</f>
        <v>3.8330729678803313E-2</v>
      </c>
      <c r="N181" s="31">
        <f>N$178/12</f>
        <v>8.3333333333333329E-2</v>
      </c>
      <c r="O181" s="31">
        <f>O$179*365/(365+5/24+48/60/24+46/60/60/24)</f>
        <v>0.99933688091165773</v>
      </c>
      <c r="P181" s="31">
        <f>P$180*366/(365+5/24+48/60/24+46/60/60/24)</f>
        <v>1.0020747901744294</v>
      </c>
      <c r="Q181" s="34">
        <v>1</v>
      </c>
      <c r="R181" s="43" t="s">
        <v>293</v>
      </c>
    </row>
    <row r="182" spans="1:20" x14ac:dyDescent="0.2">
      <c r="D182" s="1" t="s">
        <v>294</v>
      </c>
    </row>
    <row r="183" spans="1:20" x14ac:dyDescent="0.2">
      <c r="D183" s="1" t="s">
        <v>295</v>
      </c>
    </row>
    <row r="184" spans="1:20" x14ac:dyDescent="0.2">
      <c r="D184" s="1" t="s">
        <v>296</v>
      </c>
    </row>
    <row r="185" spans="1:20" ht="15.75" thickBot="1" x14ac:dyDescent="0.25"/>
    <row r="186" spans="1:20" s="6" customFormat="1" ht="32.25" thickTop="1" thickBot="1" x14ac:dyDescent="0.3">
      <c r="A186" s="36"/>
      <c r="B186" s="78" t="s">
        <v>297</v>
      </c>
      <c r="C186" s="36"/>
      <c r="D186" s="37" t="s">
        <v>298</v>
      </c>
      <c r="E186" s="37" t="s">
        <v>299</v>
      </c>
      <c r="F186" s="37" t="s">
        <v>300</v>
      </c>
      <c r="G186" s="37" t="s">
        <v>301</v>
      </c>
      <c r="H186" s="37" t="s">
        <v>302</v>
      </c>
      <c r="I186" s="37" t="s">
        <v>303</v>
      </c>
      <c r="J186" s="38" t="s">
        <v>304</v>
      </c>
      <c r="K186" s="79" t="s">
        <v>297</v>
      </c>
      <c r="R186" s="5"/>
    </row>
    <row r="187" spans="1:20" x14ac:dyDescent="0.2">
      <c r="A187" s="2"/>
      <c r="B187" s="51" t="s">
        <v>305</v>
      </c>
      <c r="C187" s="2"/>
      <c r="D187" s="15">
        <v>1</v>
      </c>
      <c r="E187" s="11">
        <f>E$188*4</f>
        <v>4</v>
      </c>
      <c r="F187" s="11">
        <f>F$189*8</f>
        <v>8</v>
      </c>
      <c r="G187" s="65">
        <f>G$190*1024*8</f>
        <v>8192</v>
      </c>
      <c r="H187" s="65">
        <f>H$191*1024*1024*8</f>
        <v>8388608</v>
      </c>
      <c r="I187" s="65">
        <f>I$192*1024*1024*1024*8</f>
        <v>8589934592</v>
      </c>
      <c r="J187" s="12">
        <f>J$193*1024*1024*1024*1024*8</f>
        <v>8796093022208</v>
      </c>
      <c r="K187" s="39" t="s">
        <v>305</v>
      </c>
    </row>
    <row r="188" spans="1:20" x14ac:dyDescent="0.2">
      <c r="A188" s="2"/>
      <c r="B188" s="51" t="s">
        <v>306</v>
      </c>
      <c r="C188" s="2"/>
      <c r="D188" s="11">
        <f>D$187/4</f>
        <v>0.25</v>
      </c>
      <c r="E188" s="15">
        <v>1</v>
      </c>
      <c r="F188" s="11">
        <f>F$189*2</f>
        <v>2</v>
      </c>
      <c r="G188" s="65">
        <f>G$190*1024*2</f>
        <v>2048</v>
      </c>
      <c r="H188" s="65">
        <f>H$191*1024*1024*2</f>
        <v>2097152</v>
      </c>
      <c r="I188" s="65">
        <f>I$192*1024*1024*1024*2</f>
        <v>2147483648</v>
      </c>
      <c r="J188" s="12">
        <f>J$193*1024*1024*1024*1024*2</f>
        <v>2199023255552</v>
      </c>
      <c r="K188" s="39" t="s">
        <v>306</v>
      </c>
      <c r="M188" s="16"/>
      <c r="N188" s="16"/>
      <c r="O188" s="16"/>
      <c r="P188" s="16"/>
      <c r="Q188" s="16"/>
      <c r="R188" s="16"/>
      <c r="S188" s="16"/>
      <c r="T188" s="16"/>
    </row>
    <row r="189" spans="1:20" x14ac:dyDescent="0.2">
      <c r="A189" s="2"/>
      <c r="B189" s="2" t="s">
        <v>307</v>
      </c>
      <c r="C189" s="2"/>
      <c r="D189" s="18">
        <f>D$187/8</f>
        <v>0.125</v>
      </c>
      <c r="E189" s="18">
        <f>E$188/2</f>
        <v>0.5</v>
      </c>
      <c r="F189" s="15">
        <v>1</v>
      </c>
      <c r="G189" s="64">
        <f>G$190*1024</f>
        <v>1024</v>
      </c>
      <c r="H189" s="64">
        <f>H$191*1024*1024</f>
        <v>1048576</v>
      </c>
      <c r="I189" s="64">
        <f>I$192*1024*1024*1024</f>
        <v>1073741824</v>
      </c>
      <c r="J189" s="19">
        <f>J$193*1024*1024*1024*1024</f>
        <v>1099511627776</v>
      </c>
      <c r="K189" s="41" t="s">
        <v>307</v>
      </c>
      <c r="M189" s="16"/>
      <c r="N189" s="16"/>
      <c r="O189" s="16"/>
      <c r="P189" s="16"/>
      <c r="Q189" s="16"/>
      <c r="R189" s="16"/>
      <c r="S189" s="16"/>
      <c r="T189" s="16"/>
    </row>
    <row r="190" spans="1:20" x14ac:dyDescent="0.2">
      <c r="A190" s="2"/>
      <c r="B190" s="2" t="s">
        <v>308</v>
      </c>
      <c r="C190" s="2"/>
      <c r="D190" s="18">
        <f>D$187/8/1024</f>
        <v>1.220703125E-4</v>
      </c>
      <c r="E190" s="18">
        <f>E$188/2/1024</f>
        <v>4.8828125E-4</v>
      </c>
      <c r="F190" s="18">
        <f>F$189/1024</f>
        <v>9.765625E-4</v>
      </c>
      <c r="G190" s="15">
        <v>1</v>
      </c>
      <c r="H190" s="64">
        <f>H$191*1024</f>
        <v>1024</v>
      </c>
      <c r="I190" s="64">
        <f>I$192*1024*1024</f>
        <v>1048576</v>
      </c>
      <c r="J190" s="73">
        <f>J$193*1024*1024*1024</f>
        <v>1073741824</v>
      </c>
      <c r="K190" s="41" t="s">
        <v>308</v>
      </c>
      <c r="M190" s="16"/>
      <c r="N190" s="16"/>
      <c r="O190" s="16"/>
      <c r="P190" s="16"/>
      <c r="Q190" s="16"/>
      <c r="R190" s="16"/>
      <c r="S190" s="16"/>
      <c r="T190" s="16"/>
    </row>
    <row r="191" spans="1:20" x14ac:dyDescent="0.2">
      <c r="A191" s="2"/>
      <c r="B191" s="51" t="s">
        <v>309</v>
      </c>
      <c r="C191" s="2"/>
      <c r="D191" s="11">
        <f>D$187/8/1024/1024</f>
        <v>1.1920928955078125E-7</v>
      </c>
      <c r="E191" s="11">
        <f>E$188/2/1024/1024</f>
        <v>4.76837158203125E-7</v>
      </c>
      <c r="F191" s="11">
        <f>F$189/1024/1024</f>
        <v>9.5367431640625E-7</v>
      </c>
      <c r="G191" s="11">
        <f>G$190/1024</f>
        <v>9.765625E-4</v>
      </c>
      <c r="H191" s="15">
        <v>1</v>
      </c>
      <c r="I191" s="65">
        <f>I$192*1024</f>
        <v>1024</v>
      </c>
      <c r="J191" s="66">
        <f>J$193*1024*1024</f>
        <v>1048576</v>
      </c>
      <c r="K191" s="39" t="s">
        <v>309</v>
      </c>
      <c r="M191" s="16"/>
      <c r="N191" s="16"/>
      <c r="O191" s="16"/>
      <c r="P191" s="16"/>
      <c r="Q191" s="16"/>
      <c r="R191" s="16"/>
      <c r="S191" s="16"/>
      <c r="T191" s="16"/>
    </row>
    <row r="192" spans="1:20" x14ac:dyDescent="0.2">
      <c r="A192" s="2"/>
      <c r="B192" s="51" t="s">
        <v>310</v>
      </c>
      <c r="C192" s="2"/>
      <c r="D192" s="11">
        <f>D$187/8/1024/1024/1024</f>
        <v>1.1641532182693481E-10</v>
      </c>
      <c r="E192" s="11">
        <f>E$188/2/1024/1024/1024</f>
        <v>4.6566128730773926E-10</v>
      </c>
      <c r="F192" s="11">
        <f>F$189/1024/1024/1024</f>
        <v>9.3132257461547852E-10</v>
      </c>
      <c r="G192" s="11">
        <f>G$190/1024/1024</f>
        <v>9.5367431640625E-7</v>
      </c>
      <c r="H192" s="11">
        <f>H$191/1024</f>
        <v>9.765625E-4</v>
      </c>
      <c r="I192" s="15">
        <v>1</v>
      </c>
      <c r="J192" s="66">
        <f>J$193*1024</f>
        <v>1024</v>
      </c>
      <c r="K192" s="39" t="s">
        <v>310</v>
      </c>
      <c r="M192" s="16"/>
      <c r="N192" s="16"/>
      <c r="O192" s="16"/>
      <c r="P192" s="16"/>
      <c r="Q192" s="16"/>
      <c r="R192" s="16"/>
      <c r="S192" s="16"/>
      <c r="T192" s="16"/>
    </row>
    <row r="193" spans="1:20" ht="15.75" thickBot="1" x14ac:dyDescent="0.25">
      <c r="A193" s="22"/>
      <c r="B193" s="22" t="s">
        <v>311</v>
      </c>
      <c r="C193" s="22"/>
      <c r="D193" s="31">
        <f>D$187/8/1024/1024/1024/1024</f>
        <v>1.1368683772161603E-13</v>
      </c>
      <c r="E193" s="31">
        <f>E$188/2/1024/1024/1024/1024</f>
        <v>4.5474735088646412E-13</v>
      </c>
      <c r="F193" s="31">
        <f>F$189/1024/1024/1024/1024</f>
        <v>9.0949470177292824E-13</v>
      </c>
      <c r="G193" s="31">
        <f>G$190/1024/1024/1024</f>
        <v>9.3132257461547852E-10</v>
      </c>
      <c r="H193" s="31">
        <f>H$191/1024/1024</f>
        <v>9.5367431640625E-7</v>
      </c>
      <c r="I193" s="31">
        <f>I$192/1024</f>
        <v>9.765625E-4</v>
      </c>
      <c r="J193" s="34">
        <v>1</v>
      </c>
      <c r="K193" s="43" t="s">
        <v>311</v>
      </c>
      <c r="M193" s="16"/>
      <c r="N193" s="16"/>
      <c r="O193" s="16"/>
      <c r="P193" s="16"/>
      <c r="Q193" s="16"/>
      <c r="R193" s="16"/>
      <c r="S193" s="16"/>
      <c r="T193" s="16"/>
    </row>
    <row r="195" spans="1:20" x14ac:dyDescent="0.2">
      <c r="D195" s="1" t="s">
        <v>312</v>
      </c>
    </row>
    <row r="196" spans="1:20" x14ac:dyDescent="0.2">
      <c r="D196" s="1" t="s">
        <v>313</v>
      </c>
    </row>
    <row r="197" spans="1:20" x14ac:dyDescent="0.2">
      <c r="D197" s="1" t="s">
        <v>314</v>
      </c>
    </row>
    <row r="198" spans="1:20" ht="15.75" thickBot="1" x14ac:dyDescent="0.25"/>
    <row r="199" spans="1:20" s="6" customFormat="1" ht="15" customHeight="1" thickTop="1" x14ac:dyDescent="0.2"/>
    <row r="201" spans="1:20" ht="15.75" x14ac:dyDescent="0.25">
      <c r="B201" s="3" t="s">
        <v>315</v>
      </c>
    </row>
    <row r="202" spans="1:20" x14ac:dyDescent="0.2">
      <c r="B202" s="75">
        <v>37925</v>
      </c>
      <c r="D202" s="1" t="s">
        <v>316</v>
      </c>
    </row>
    <row r="203" spans="1:20" x14ac:dyDescent="0.2">
      <c r="B203" s="75">
        <v>38433</v>
      </c>
      <c r="D203" s="1" t="s">
        <v>317</v>
      </c>
    </row>
    <row r="204" spans="1:20" x14ac:dyDescent="0.2">
      <c r="B204" s="75"/>
      <c r="D204" s="1" t="s">
        <v>318</v>
      </c>
    </row>
    <row r="205" spans="1:20" x14ac:dyDescent="0.2">
      <c r="D205" s="1" t="s">
        <v>319</v>
      </c>
    </row>
    <row r="206" spans="1:20" x14ac:dyDescent="0.2">
      <c r="D206" s="1" t="s">
        <v>320</v>
      </c>
    </row>
    <row r="207" spans="1:20" x14ac:dyDescent="0.2">
      <c r="D207" s="1" t="s">
        <v>321</v>
      </c>
    </row>
  </sheetData>
  <phoneticPr fontId="7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6"/>
  <sheetViews>
    <sheetView zoomScaleNormal="100" workbookViewId="0">
      <pane ySplit="1" topLeftCell="A2" activePane="bottomLeft" state="frozen"/>
      <selection pane="bottomLeft" activeCell="A41" sqref="A41:N41"/>
    </sheetView>
  </sheetViews>
  <sheetFormatPr defaultColWidth="6.77734375" defaultRowHeight="11.25" x14ac:dyDescent="0.2"/>
  <cols>
    <col min="1" max="1" width="22.21875" style="138" bestFit="1" customWidth="1"/>
    <col min="2" max="2" width="5.88671875" style="138" bestFit="1" customWidth="1"/>
    <col min="3" max="3" width="5.77734375" style="138" bestFit="1" customWidth="1"/>
    <col min="4" max="7" width="5.88671875" style="138" bestFit="1" customWidth="1"/>
    <col min="8" max="10" width="6.109375" style="138" bestFit="1" customWidth="1"/>
    <col min="11" max="13" width="6.77734375" style="138" bestFit="1" customWidth="1"/>
    <col min="14" max="14" width="8.88671875" style="138" bestFit="1" customWidth="1"/>
    <col min="15" max="16384" width="6.77734375" style="138"/>
  </cols>
  <sheetData>
    <row r="1" spans="1:14" s="146" customFormat="1" ht="11.25" customHeight="1" x14ac:dyDescent="0.2">
      <c r="A1" s="146" t="s">
        <v>345</v>
      </c>
      <c r="B1" s="146" t="s">
        <v>407</v>
      </c>
      <c r="C1" s="146" t="s">
        <v>408</v>
      </c>
      <c r="D1" s="146" t="s">
        <v>409</v>
      </c>
      <c r="E1" s="146" t="s">
        <v>410</v>
      </c>
      <c r="F1" s="146" t="s">
        <v>411</v>
      </c>
      <c r="G1" s="146" t="s">
        <v>412</v>
      </c>
      <c r="H1" s="146" t="s">
        <v>413</v>
      </c>
      <c r="I1" s="146" t="s">
        <v>414</v>
      </c>
      <c r="J1" s="146" t="s">
        <v>415</v>
      </c>
      <c r="K1" s="146" t="s">
        <v>416</v>
      </c>
      <c r="L1" s="146" t="s">
        <v>417</v>
      </c>
      <c r="M1" s="146" t="s">
        <v>418</v>
      </c>
      <c r="N1" s="146" t="s">
        <v>419</v>
      </c>
    </row>
    <row r="2" spans="1:14" ht="12" hidden="1" customHeight="1" x14ac:dyDescent="0.2">
      <c r="A2" s="138" t="s">
        <v>13</v>
      </c>
      <c r="B2" s="147">
        <v>145929</v>
      </c>
      <c r="C2" s="147">
        <v>123179</v>
      </c>
      <c r="D2" s="147">
        <v>117012</v>
      </c>
      <c r="E2" s="147">
        <v>126890</v>
      </c>
      <c r="F2" s="147">
        <v>112482</v>
      </c>
      <c r="G2" s="147">
        <v>117313</v>
      </c>
      <c r="H2" s="147">
        <v>118935</v>
      </c>
      <c r="I2" s="147">
        <v>126447</v>
      </c>
      <c r="J2" s="147">
        <v>108706</v>
      </c>
      <c r="K2" s="147">
        <v>109251</v>
      </c>
      <c r="L2" s="147">
        <v>122290</v>
      </c>
      <c r="M2" s="147">
        <v>121700</v>
      </c>
      <c r="N2" s="147">
        <v>130922</v>
      </c>
    </row>
    <row r="3" spans="1:14" ht="12" hidden="1" customHeight="1" x14ac:dyDescent="0.2">
      <c r="A3" s="148" t="s">
        <v>14</v>
      </c>
      <c r="B3" s="149">
        <v>140472</v>
      </c>
      <c r="C3" s="150">
        <v>135757</v>
      </c>
      <c r="D3" s="150">
        <v>126662</v>
      </c>
      <c r="E3" s="150">
        <v>125264</v>
      </c>
      <c r="F3" s="150">
        <v>131030</v>
      </c>
      <c r="G3" s="150">
        <v>138318</v>
      </c>
      <c r="H3" s="150">
        <v>126140</v>
      </c>
      <c r="I3" s="150">
        <v>119213</v>
      </c>
      <c r="J3" s="150">
        <v>112764</v>
      </c>
      <c r="K3" s="150">
        <v>135016.5</v>
      </c>
      <c r="L3" s="150">
        <v>118297</v>
      </c>
      <c r="M3" s="150">
        <v>139012</v>
      </c>
      <c r="N3" s="148"/>
    </row>
    <row r="4" spans="1:14" ht="12" customHeight="1" x14ac:dyDescent="0.2">
      <c r="A4" s="143" t="s">
        <v>355</v>
      </c>
      <c r="B4" s="150">
        <f>SUM(B2:B3)</f>
        <v>286401</v>
      </c>
      <c r="C4" s="150">
        <f t="shared" ref="C4:N4" si="0">SUM(C2:C3)</f>
        <v>258936</v>
      </c>
      <c r="D4" s="150">
        <f t="shared" si="0"/>
        <v>243674</v>
      </c>
      <c r="E4" s="150">
        <f t="shared" si="0"/>
        <v>252154</v>
      </c>
      <c r="F4" s="150">
        <f t="shared" si="0"/>
        <v>243512</v>
      </c>
      <c r="G4" s="150">
        <f t="shared" si="0"/>
        <v>255631</v>
      </c>
      <c r="H4" s="150">
        <f t="shared" si="0"/>
        <v>245075</v>
      </c>
      <c r="I4" s="150">
        <f t="shared" si="0"/>
        <v>245660</v>
      </c>
      <c r="J4" s="150">
        <f t="shared" si="0"/>
        <v>221470</v>
      </c>
      <c r="K4" s="150">
        <f t="shared" si="0"/>
        <v>244267.5</v>
      </c>
      <c r="L4" s="150">
        <f t="shared" si="0"/>
        <v>240587</v>
      </c>
      <c r="M4" s="150">
        <f t="shared" si="0"/>
        <v>260712</v>
      </c>
      <c r="N4" s="150">
        <f t="shared" si="0"/>
        <v>130922</v>
      </c>
    </row>
    <row r="5" spans="1:14" s="148" customFormat="1" ht="12" customHeight="1" x14ac:dyDescent="0.2">
      <c r="A5" s="148" t="s">
        <v>13</v>
      </c>
      <c r="B5" s="151">
        <v>192705.88</v>
      </c>
      <c r="C5" s="151">
        <v>166862.14000000001</v>
      </c>
      <c r="D5" s="151">
        <v>213486.92</v>
      </c>
      <c r="E5" s="151">
        <v>211847.3</v>
      </c>
      <c r="F5" s="151">
        <v>187802.44</v>
      </c>
      <c r="G5" s="151">
        <v>195868.51</v>
      </c>
      <c r="H5" s="151">
        <v>220332.75</v>
      </c>
      <c r="I5" s="151">
        <v>244267.76</v>
      </c>
      <c r="J5" s="151">
        <v>225053.87</v>
      </c>
      <c r="K5" s="151">
        <v>243767.11</v>
      </c>
      <c r="L5" s="151">
        <v>255645.93</v>
      </c>
      <c r="M5" s="151">
        <v>373966.74</v>
      </c>
      <c r="N5" s="151">
        <v>451593.96</v>
      </c>
    </row>
    <row r="6" spans="1:14" ht="12" hidden="1" customHeight="1" x14ac:dyDescent="0.2">
      <c r="A6" s="148" t="s">
        <v>14</v>
      </c>
      <c r="B6" s="152">
        <v>189567.64</v>
      </c>
      <c r="C6" s="151">
        <v>250940.16</v>
      </c>
      <c r="D6" s="151">
        <v>211598.17</v>
      </c>
      <c r="E6" s="151">
        <v>209146.68</v>
      </c>
      <c r="F6" s="151">
        <v>207554.15</v>
      </c>
      <c r="G6" s="151">
        <v>231724.91</v>
      </c>
      <c r="H6" s="151">
        <v>215527.3</v>
      </c>
      <c r="I6" s="151">
        <v>247412.03</v>
      </c>
      <c r="J6" s="151">
        <v>252141.32</v>
      </c>
      <c r="K6" s="151">
        <v>336929.75</v>
      </c>
      <c r="L6" s="151">
        <v>363503.25</v>
      </c>
      <c r="M6" s="151">
        <v>480294.75</v>
      </c>
      <c r="N6" s="151"/>
    </row>
    <row r="7" spans="1:14" ht="12" hidden="1" customHeight="1" x14ac:dyDescent="0.2">
      <c r="A7" s="143" t="s">
        <v>392</v>
      </c>
      <c r="B7" s="151">
        <f t="shared" ref="B7:N7" si="1">SUM(B5:B6)</f>
        <v>382273.52</v>
      </c>
      <c r="C7" s="151">
        <f t="shared" si="1"/>
        <v>417802.30000000005</v>
      </c>
      <c r="D7" s="151">
        <f t="shared" si="1"/>
        <v>425085.09</v>
      </c>
      <c r="E7" s="151">
        <f t="shared" si="1"/>
        <v>420993.98</v>
      </c>
      <c r="F7" s="151">
        <f t="shared" si="1"/>
        <v>395356.58999999997</v>
      </c>
      <c r="G7" s="151">
        <f t="shared" si="1"/>
        <v>427593.42000000004</v>
      </c>
      <c r="H7" s="151">
        <f t="shared" si="1"/>
        <v>435860.05</v>
      </c>
      <c r="I7" s="151">
        <f t="shared" si="1"/>
        <v>491679.79000000004</v>
      </c>
      <c r="J7" s="151">
        <f t="shared" si="1"/>
        <v>477195.19</v>
      </c>
      <c r="K7" s="151">
        <f t="shared" si="1"/>
        <v>580696.86</v>
      </c>
      <c r="L7" s="151">
        <f t="shared" si="1"/>
        <v>619149.17999999993</v>
      </c>
      <c r="M7" s="151">
        <f t="shared" si="1"/>
        <v>854261.49</v>
      </c>
      <c r="N7" s="151">
        <f t="shared" si="1"/>
        <v>451593.96</v>
      </c>
    </row>
    <row r="8" spans="1:14" s="147" customFormat="1" ht="12" customHeight="1" x14ac:dyDescent="0.2">
      <c r="A8" s="150" t="s">
        <v>395</v>
      </c>
      <c r="B8" s="153">
        <f>B7/B4</f>
        <v>1.3347492501771991</v>
      </c>
      <c r="C8" s="153">
        <f>C7/C4</f>
        <v>1.6135350047888284</v>
      </c>
      <c r="D8" s="153">
        <f>D7/D4</f>
        <v>1.7444827515450971</v>
      </c>
      <c r="E8" s="153">
        <f>E7/E4</f>
        <v>1.6695907263021803</v>
      </c>
      <c r="F8" s="153">
        <f>F7/F4</f>
        <v>1.62356101547357</v>
      </c>
      <c r="G8" s="153">
        <f>G7/G4</f>
        <v>1.6726978339872709</v>
      </c>
      <c r="H8" s="153">
        <f>H7/H4</f>
        <v>1.7784761807609915</v>
      </c>
      <c r="I8" s="153">
        <f>I7/I4</f>
        <v>2.0014645851990558</v>
      </c>
      <c r="J8" s="153">
        <f>J7/J4</f>
        <v>2.1546719194473294</v>
      </c>
      <c r="K8" s="153">
        <f>K7/K4</f>
        <v>2.3772989038656389</v>
      </c>
      <c r="L8" s="153">
        <f>L7/L4</f>
        <v>2.5734939128049308</v>
      </c>
      <c r="M8" s="153">
        <f>M7/M4</f>
        <v>3.2766481404768482</v>
      </c>
      <c r="N8" s="153">
        <f>N7/N4</f>
        <v>3.449335940483647</v>
      </c>
    </row>
    <row r="9" spans="1:14" ht="12" customHeight="1" x14ac:dyDescent="0.2">
      <c r="A9" s="148" t="s">
        <v>13</v>
      </c>
      <c r="B9" s="151">
        <v>75100</v>
      </c>
      <c r="C9" s="151">
        <v>63300</v>
      </c>
      <c r="D9" s="151">
        <v>83750</v>
      </c>
      <c r="E9" s="151">
        <v>166750</v>
      </c>
      <c r="F9" s="151">
        <v>169100</v>
      </c>
      <c r="G9" s="151">
        <v>80500</v>
      </c>
      <c r="H9" s="151">
        <v>75400</v>
      </c>
      <c r="I9" s="151">
        <v>123343.78</v>
      </c>
      <c r="J9" s="151">
        <v>109900</v>
      </c>
      <c r="K9" s="151">
        <v>84750</v>
      </c>
      <c r="L9" s="151">
        <v>83650</v>
      </c>
      <c r="M9" s="151">
        <v>83650</v>
      </c>
      <c r="N9" s="151">
        <v>95800</v>
      </c>
    </row>
    <row r="10" spans="1:14" ht="12" customHeight="1" x14ac:dyDescent="0.2">
      <c r="A10" s="148" t="s">
        <v>14</v>
      </c>
      <c r="B10" s="152">
        <v>63300</v>
      </c>
      <c r="C10" s="151">
        <v>83750</v>
      </c>
      <c r="D10" s="151">
        <v>166750</v>
      </c>
      <c r="E10" s="151">
        <v>169100</v>
      </c>
      <c r="F10" s="151">
        <v>80500</v>
      </c>
      <c r="G10" s="151">
        <v>75400</v>
      </c>
      <c r="H10" s="151">
        <v>41725</v>
      </c>
      <c r="I10" s="151">
        <v>109900</v>
      </c>
      <c r="J10" s="151">
        <v>84750</v>
      </c>
      <c r="K10" s="151">
        <v>83650</v>
      </c>
      <c r="L10" s="151">
        <v>83650</v>
      </c>
      <c r="M10" s="151">
        <v>95800</v>
      </c>
      <c r="N10" s="151"/>
    </row>
    <row r="11" spans="1:14" ht="12" hidden="1" customHeight="1" x14ac:dyDescent="0.2">
      <c r="A11" s="148" t="s">
        <v>324</v>
      </c>
      <c r="B11" s="151">
        <f t="shared" ref="B11:N11" si="2">SUM(B9:B10)</f>
        <v>138400</v>
      </c>
      <c r="C11" s="151">
        <f t="shared" si="2"/>
        <v>147050</v>
      </c>
      <c r="D11" s="151">
        <f t="shared" si="2"/>
        <v>250500</v>
      </c>
      <c r="E11" s="151">
        <f t="shared" si="2"/>
        <v>335850</v>
      </c>
      <c r="F11" s="151">
        <f t="shared" si="2"/>
        <v>249600</v>
      </c>
      <c r="G11" s="151">
        <f t="shared" si="2"/>
        <v>155900</v>
      </c>
      <c r="H11" s="151">
        <f t="shared" si="2"/>
        <v>117125</v>
      </c>
      <c r="I11" s="151">
        <f t="shared" si="2"/>
        <v>233243.78</v>
      </c>
      <c r="J11" s="151">
        <f t="shared" si="2"/>
        <v>194650</v>
      </c>
      <c r="K11" s="151">
        <f t="shared" si="2"/>
        <v>168400</v>
      </c>
      <c r="L11" s="151">
        <f t="shared" si="2"/>
        <v>167300</v>
      </c>
      <c r="M11" s="151">
        <f t="shared" si="2"/>
        <v>179450</v>
      </c>
      <c r="N11" s="151">
        <f t="shared" si="2"/>
        <v>95800</v>
      </c>
    </row>
    <row r="12" spans="1:14" ht="12" hidden="1" customHeight="1" x14ac:dyDescent="0.2">
      <c r="A12" s="148" t="s">
        <v>13</v>
      </c>
      <c r="B12" s="151">
        <v>0</v>
      </c>
      <c r="C12" s="151">
        <v>0</v>
      </c>
      <c r="D12" s="151">
        <v>701.58</v>
      </c>
      <c r="E12" s="151">
        <v>2791.99</v>
      </c>
      <c r="F12" s="151">
        <v>0</v>
      </c>
      <c r="G12" s="151">
        <v>25011.59</v>
      </c>
      <c r="H12" s="151">
        <v>21096.77</v>
      </c>
      <c r="I12" s="151">
        <v>31129.09</v>
      </c>
      <c r="J12" s="151">
        <v>18675.75</v>
      </c>
      <c r="K12" s="151">
        <v>19262.563187587486</v>
      </c>
      <c r="L12" s="151">
        <v>31644.48</v>
      </c>
      <c r="M12" s="151">
        <v>26836.21</v>
      </c>
      <c r="N12" s="151">
        <v>48946.879999999997</v>
      </c>
    </row>
    <row r="13" spans="1:14" s="154" customFormat="1" ht="12" customHeight="1" x14ac:dyDescent="0.2">
      <c r="A13" s="148" t="s">
        <v>14</v>
      </c>
      <c r="B13" s="152">
        <v>13620.67</v>
      </c>
      <c r="C13" s="151">
        <v>10222.84</v>
      </c>
      <c r="D13" s="151">
        <v>179.04</v>
      </c>
      <c r="E13" s="151">
        <v>0</v>
      </c>
      <c r="F13" s="151">
        <v>38499.129999999997</v>
      </c>
      <c r="G13" s="151">
        <v>27523.87</v>
      </c>
      <c r="H13" s="151">
        <v>37793.980000000003</v>
      </c>
      <c r="I13" s="151">
        <v>27168.53</v>
      </c>
      <c r="J13" s="151">
        <v>20704.45</v>
      </c>
      <c r="K13" s="151">
        <v>24921.66</v>
      </c>
      <c r="L13" s="151">
        <v>44034.02</v>
      </c>
      <c r="M13" s="151">
        <v>57367.99</v>
      </c>
      <c r="N13" s="151"/>
    </row>
    <row r="14" spans="1:14" ht="12" hidden="1" customHeight="1" x14ac:dyDescent="0.2">
      <c r="A14" s="148" t="s">
        <v>325</v>
      </c>
      <c r="B14" s="151">
        <f>SUM(B12:B13)</f>
        <v>13620.67</v>
      </c>
      <c r="C14" s="151">
        <f>SUM(C12:C13)</f>
        <v>10222.84</v>
      </c>
      <c r="D14" s="151">
        <f t="shared" ref="D14:N14" si="3">SUM(D12:D13)</f>
        <v>880.62</v>
      </c>
      <c r="E14" s="151">
        <f t="shared" si="3"/>
        <v>2791.99</v>
      </c>
      <c r="F14" s="151">
        <f t="shared" si="3"/>
        <v>38499.129999999997</v>
      </c>
      <c r="G14" s="151">
        <f t="shared" si="3"/>
        <v>52535.46</v>
      </c>
      <c r="H14" s="151">
        <f t="shared" si="3"/>
        <v>58890.75</v>
      </c>
      <c r="I14" s="151">
        <f t="shared" si="3"/>
        <v>58297.619999999995</v>
      </c>
      <c r="J14" s="151">
        <f t="shared" si="3"/>
        <v>39380.199999999997</v>
      </c>
      <c r="K14" s="151">
        <f t="shared" si="3"/>
        <v>44184.223187587486</v>
      </c>
      <c r="L14" s="151">
        <f t="shared" si="3"/>
        <v>75678.5</v>
      </c>
      <c r="M14" s="151">
        <f t="shared" si="3"/>
        <v>84204.2</v>
      </c>
      <c r="N14" s="151">
        <f t="shared" si="3"/>
        <v>48946.879999999997</v>
      </c>
    </row>
    <row r="15" spans="1:14" ht="12" hidden="1" customHeight="1" x14ac:dyDescent="0.2">
      <c r="A15" s="148" t="s">
        <v>333</v>
      </c>
      <c r="B15" s="151">
        <f t="shared" ref="B15:N15" si="4">B11+B14</f>
        <v>152020.67000000001</v>
      </c>
      <c r="C15" s="151">
        <f t="shared" si="4"/>
        <v>157272.84</v>
      </c>
      <c r="D15" s="151">
        <f t="shared" si="4"/>
        <v>251380.62</v>
      </c>
      <c r="E15" s="151">
        <f t="shared" si="4"/>
        <v>338641.99</v>
      </c>
      <c r="F15" s="151">
        <f t="shared" si="4"/>
        <v>288099.13</v>
      </c>
      <c r="G15" s="151">
        <f t="shared" si="4"/>
        <v>208435.46</v>
      </c>
      <c r="H15" s="151">
        <f t="shared" si="4"/>
        <v>176015.75</v>
      </c>
      <c r="I15" s="151">
        <f t="shared" si="4"/>
        <v>291541.40000000002</v>
      </c>
      <c r="J15" s="151">
        <f t="shared" si="4"/>
        <v>234030.2</v>
      </c>
      <c r="K15" s="151">
        <f t="shared" si="4"/>
        <v>212584.22318758749</v>
      </c>
      <c r="L15" s="151">
        <f t="shared" si="4"/>
        <v>242978.5</v>
      </c>
      <c r="M15" s="151">
        <f t="shared" si="4"/>
        <v>263654.2</v>
      </c>
      <c r="N15" s="151">
        <f t="shared" si="4"/>
        <v>144746.88</v>
      </c>
    </row>
    <row r="16" spans="1:14" ht="12" customHeight="1" x14ac:dyDescent="0.2">
      <c r="A16" s="148" t="s">
        <v>330</v>
      </c>
      <c r="B16" s="148">
        <v>456.84</v>
      </c>
      <c r="C16" s="148">
        <v>366.3</v>
      </c>
      <c r="D16" s="148">
        <v>439.7</v>
      </c>
      <c r="E16" s="148">
        <v>513.41999999999996</v>
      </c>
      <c r="F16" s="148">
        <v>509.7</v>
      </c>
      <c r="G16" s="148">
        <v>368.7</v>
      </c>
      <c r="H16" s="148">
        <v>361</v>
      </c>
      <c r="I16" s="148">
        <v>381.6</v>
      </c>
      <c r="J16" s="148">
        <v>264.68</v>
      </c>
      <c r="K16" s="148">
        <v>329.91</v>
      </c>
      <c r="L16" s="148">
        <v>402.18</v>
      </c>
      <c r="M16" s="148">
        <v>423.7</v>
      </c>
      <c r="N16" s="148">
        <v>218.21</v>
      </c>
    </row>
    <row r="17" spans="1:14" ht="12" customHeight="1" x14ac:dyDescent="0.2">
      <c r="A17" s="155" t="s">
        <v>393</v>
      </c>
      <c r="B17" s="150">
        <f>B16/'Consumption-City'!$P$17</f>
        <v>199000.69800179996</v>
      </c>
      <c r="C17" s="150">
        <f>C16/'Consumption-City'!$P$17</f>
        <v>159561.23736550944</v>
      </c>
      <c r="D17" s="150">
        <f>D16/'Consumption-City'!$P$17</f>
        <v>191534.46920451679</v>
      </c>
      <c r="E17" s="150">
        <f>E16/'Consumption-City'!$P$17</f>
        <v>223647.09387987945</v>
      </c>
      <c r="F17" s="150">
        <f>F16/'Consumption-City'!$P$17</f>
        <v>222026.65215724858</v>
      </c>
      <c r="G17" s="150">
        <f>G16/'Consumption-City'!$P$17</f>
        <v>160606.68363817452</v>
      </c>
      <c r="H17" s="150">
        <f>H16/'Consumption-City'!$P$17</f>
        <v>157252.54351337402</v>
      </c>
      <c r="I17" s="150">
        <f>I16/'Consumption-City'!$P$17</f>
        <v>166225.9573537494</v>
      </c>
      <c r="J17" s="150">
        <f>J16/'Consumption-City'!$P$17</f>
        <v>115295.29977041506</v>
      </c>
      <c r="K17" s="150">
        <f>K16/'Consumption-City'!$P$17</f>
        <v>143709.658256225</v>
      </c>
      <c r="L17" s="150">
        <f>L16/'Consumption-City'!$P$17</f>
        <v>175190.65914185255</v>
      </c>
      <c r="M17" s="150">
        <f>M16/'Consumption-City'!$P$17</f>
        <v>184564.8273867495</v>
      </c>
      <c r="N17" s="150">
        <f>N16/'Consumption-City'!$P$17</f>
        <v>95052.846315937248</v>
      </c>
    </row>
    <row r="18" spans="1:14" ht="12" customHeight="1" x14ac:dyDescent="0.2">
      <c r="A18" s="150" t="s">
        <v>394</v>
      </c>
      <c r="B18" s="150">
        <f>B4+B17</f>
        <v>485401.69800179999</v>
      </c>
      <c r="C18" s="150">
        <f>C4+C17</f>
        <v>418497.23736550944</v>
      </c>
      <c r="D18" s="150">
        <f>D4+D17</f>
        <v>435208.46920451679</v>
      </c>
      <c r="E18" s="150">
        <f>E4+E17</f>
        <v>475801.09387987945</v>
      </c>
      <c r="F18" s="150">
        <f>F4+F17</f>
        <v>465538.65215724858</v>
      </c>
      <c r="G18" s="150">
        <f>G4+G17</f>
        <v>416237.68363817455</v>
      </c>
      <c r="H18" s="150">
        <f>H4+H17</f>
        <v>402327.54351337405</v>
      </c>
      <c r="I18" s="150">
        <f>I4+I17</f>
        <v>411885.95735374943</v>
      </c>
      <c r="J18" s="150">
        <f>J4+J17</f>
        <v>336765.29977041506</v>
      </c>
      <c r="K18" s="150">
        <f>K4+K17</f>
        <v>387977.158256225</v>
      </c>
      <c r="L18" s="150">
        <f>L4+L17</f>
        <v>415777.65914185252</v>
      </c>
      <c r="M18" s="150">
        <f>M4+M17</f>
        <v>445276.8273867495</v>
      </c>
      <c r="N18" s="150">
        <f>N4+N17</f>
        <v>225974.84631593723</v>
      </c>
    </row>
    <row r="19" spans="1:14" s="147" customFormat="1" ht="12" customHeight="1" x14ac:dyDescent="0.2">
      <c r="A19" s="150" t="s">
        <v>336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s="147" customFormat="1" ht="12" customHeight="1" x14ac:dyDescent="0.2">
      <c r="A20" s="150" t="s">
        <v>332</v>
      </c>
      <c r="B20" s="153">
        <f>B8+B15/B18</f>
        <v>1.6479345369732834</v>
      </c>
      <c r="C20" s="153">
        <f>C8+C15/C18</f>
        <v>1.9893387758962591</v>
      </c>
      <c r="D20" s="153">
        <f>D8+D15/D18</f>
        <v>2.322092420905344</v>
      </c>
      <c r="E20" s="153">
        <f>E8+E15/E18</f>
        <v>2.3813208890863233</v>
      </c>
      <c r="F20" s="153">
        <f>F8+F15/F18</f>
        <v>2.2424121649216002</v>
      </c>
      <c r="G20" s="153">
        <f>G8+G15/G18</f>
        <v>2.173458500773001</v>
      </c>
      <c r="H20" s="153">
        <f>H8+H15/H18</f>
        <v>2.2159698419280125</v>
      </c>
      <c r="I20" s="153">
        <f>I8+I15/I18</f>
        <v>2.7092852690433675</v>
      </c>
      <c r="J20" s="153">
        <f>J8+J15/J18</f>
        <v>2.8496075323490944</v>
      </c>
      <c r="K20" s="153">
        <f>K8+K15/K18</f>
        <v>2.9252286431911543</v>
      </c>
      <c r="L20" s="153">
        <f>L8+L15/L18</f>
        <v>3.1578891891203957</v>
      </c>
      <c r="M20" s="153">
        <f>M8+M15/M18</f>
        <v>3.8687611447563199</v>
      </c>
      <c r="N20" s="153">
        <f>N8+N15/N18</f>
        <v>4.0898801530798945</v>
      </c>
    </row>
    <row r="21" spans="1:14" s="147" customFormat="1" ht="12" customHeight="1" x14ac:dyDescent="0.2">
      <c r="A21" s="150" t="s">
        <v>334</v>
      </c>
      <c r="B21" s="153">
        <f>B15/B18</f>
        <v>0.31318528679608426</v>
      </c>
      <c r="C21" s="153">
        <f>C15/C18</f>
        <v>0.37580377110743068</v>
      </c>
      <c r="D21" s="153">
        <f>D15/D18</f>
        <v>0.5776096693602466</v>
      </c>
      <c r="E21" s="153">
        <f>E15/E18</f>
        <v>0.71173016278414314</v>
      </c>
      <c r="F21" s="153">
        <f>F15/F18</f>
        <v>0.61885114944803021</v>
      </c>
      <c r="G21" s="153">
        <f>G15/G18</f>
        <v>0.50076066678572995</v>
      </c>
      <c r="H21" s="153">
        <f>H15/H18</f>
        <v>0.4374936611670211</v>
      </c>
      <c r="I21" s="153">
        <f>I15/I18</f>
        <v>0.70782068384431196</v>
      </c>
      <c r="J21" s="153">
        <f>J15/J18</f>
        <v>0.69493561290176498</v>
      </c>
      <c r="K21" s="153">
        <f>K15/K18</f>
        <v>0.54792973932551514</v>
      </c>
      <c r="L21" s="153">
        <f>L15/L18</f>
        <v>0.58439527631546473</v>
      </c>
      <c r="M21" s="153">
        <f>M15/M18</f>
        <v>0.59211300427947178</v>
      </c>
      <c r="N21" s="153">
        <f>N15/N18</f>
        <v>0.64054421259624728</v>
      </c>
    </row>
    <row r="22" spans="1:14" ht="12" customHeight="1" x14ac:dyDescent="0.2">
      <c r="A22" s="148" t="s">
        <v>337</v>
      </c>
      <c r="B22" s="165" t="s">
        <v>338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</row>
    <row r="23" spans="1:14" s="147" customFormat="1" ht="12" customHeight="1" x14ac:dyDescent="0.2">
      <c r="A23" s="148" t="s">
        <v>331</v>
      </c>
      <c r="B23" s="166">
        <f>AVERAGE(C23:N23)</f>
        <v>8.2764360094301465E-2</v>
      </c>
      <c r="C23" s="156">
        <f>(C20-B20)/B20</f>
        <v>0.20717099573022091</v>
      </c>
      <c r="D23" s="156">
        <f>(D20-C20)/C20</f>
        <v>0.1672684658042565</v>
      </c>
      <c r="E23" s="156">
        <f>(E20-D20)/D20</f>
        <v>2.5506507685808307E-2</v>
      </c>
      <c r="F23" s="156">
        <f>(F20-E20)/E20</f>
        <v>-5.8332635807860515E-2</v>
      </c>
      <c r="G23" s="156">
        <f>(G20-F20)/F20</f>
        <v>-3.0749772600796626E-2</v>
      </c>
      <c r="H23" s="156">
        <f>(H20-G20)/G20</f>
        <v>1.9559306579763163E-2</v>
      </c>
      <c r="I23" s="156">
        <f>(I20-H20)/H20</f>
        <v>0.22261829460916499</v>
      </c>
      <c r="J23" s="156">
        <f>(J20-I20)/I20</f>
        <v>5.1793092779511475E-2</v>
      </c>
      <c r="K23" s="156">
        <f>(K20-J20)/J20</f>
        <v>2.6537377510271076E-2</v>
      </c>
      <c r="L23" s="156">
        <f>(L20-K20)/K20</f>
        <v>7.9535849777346054E-2</v>
      </c>
      <c r="M23" s="156">
        <f>(M20-L20)/L20</f>
        <v>0.22510984808619322</v>
      </c>
      <c r="N23" s="156">
        <f>(N20-M20)/M20</f>
        <v>5.7154990977738969E-2</v>
      </c>
    </row>
    <row r="24" spans="1:14" s="147" customFormat="1" ht="12" customHeight="1" x14ac:dyDescent="0.2">
      <c r="A24" s="138" t="s">
        <v>396</v>
      </c>
      <c r="B24" s="167">
        <f>AVERAGE(C24:N24)</f>
        <v>8.9265400137567577E-2</v>
      </c>
      <c r="C24" s="157">
        <f>(C21-B21)/B21</f>
        <v>0.19994069629496189</v>
      </c>
      <c r="D24" s="157">
        <f>(D21-C21)/C21</f>
        <v>0.53699806592714006</v>
      </c>
      <c r="E24" s="157">
        <f>(E21-D21)/D21</f>
        <v>0.23219918318273092</v>
      </c>
      <c r="F24" s="157">
        <f>(F21-E21)/E21</f>
        <v>-0.13049750901772827</v>
      </c>
      <c r="G24" s="157">
        <f>(G21-F21)/F21</f>
        <v>-0.19082211088664586</v>
      </c>
      <c r="H24" s="157">
        <f>(H21-G21)/G21</f>
        <v>-0.12634180321071445</v>
      </c>
      <c r="I24" s="157">
        <f>(I21-H21)/H21</f>
        <v>0.61789929014328882</v>
      </c>
      <c r="J24" s="157">
        <f>(J21-I21)/I21</f>
        <v>-1.8203863261759538E-2</v>
      </c>
      <c r="K24" s="157">
        <f>(K21-J21)/J21</f>
        <v>-0.21153884021343192</v>
      </c>
      <c r="L24" s="157">
        <f>(L21-K21)/K21</f>
        <v>6.6551483470923767E-2</v>
      </c>
      <c r="M24" s="157">
        <f>(M21-L21)/L21</f>
        <v>1.3206348984656937E-2</v>
      </c>
      <c r="N24" s="157">
        <f>(N21-M21)/M21</f>
        <v>8.1793860237388771E-2</v>
      </c>
    </row>
    <row r="25" spans="1:14" s="147" customFormat="1" ht="12" customHeight="1" x14ac:dyDescent="0.2">
      <c r="A25" s="158" t="s">
        <v>389</v>
      </c>
      <c r="B25" s="138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  <row r="26" spans="1:14" s="147" customFormat="1" ht="12" customHeight="1" x14ac:dyDescent="0.2">
      <c r="A26" s="158" t="s">
        <v>386</v>
      </c>
      <c r="D26" s="147">
        <v>110771</v>
      </c>
      <c r="E26" s="147">
        <v>114363</v>
      </c>
      <c r="F26" s="147">
        <v>120545</v>
      </c>
      <c r="G26" s="147">
        <v>77146</v>
      </c>
      <c r="H26" s="147">
        <v>63111.125714285707</v>
      </c>
      <c r="I26" s="147">
        <v>74079.5</v>
      </c>
      <c r="J26" s="147">
        <v>111490</v>
      </c>
      <c r="K26" s="147">
        <v>60691</v>
      </c>
      <c r="L26" s="147">
        <v>94699</v>
      </c>
      <c r="M26" s="147">
        <v>87767</v>
      </c>
      <c r="N26" s="147">
        <v>24873</v>
      </c>
    </row>
    <row r="27" spans="1:14" ht="12" customHeight="1" x14ac:dyDescent="0.2">
      <c r="A27" s="138" t="s">
        <v>387</v>
      </c>
      <c r="D27" s="138">
        <v>13850.75</v>
      </c>
      <c r="E27" s="138">
        <v>12557.67</v>
      </c>
      <c r="F27" s="138">
        <v>14152.52</v>
      </c>
      <c r="G27" s="138">
        <v>8855.2099999999991</v>
      </c>
      <c r="H27" s="138">
        <v>2943.64</v>
      </c>
      <c r="I27" s="138">
        <v>10171.68</v>
      </c>
      <c r="J27" s="138">
        <v>7626.89</v>
      </c>
      <c r="K27" s="138">
        <v>7133.79</v>
      </c>
      <c r="L27" s="138">
        <v>8099.18</v>
      </c>
      <c r="M27" s="138">
        <v>14352.99</v>
      </c>
      <c r="N27" s="138">
        <v>4686.63</v>
      </c>
    </row>
    <row r="28" spans="1:14" ht="12" customHeight="1" x14ac:dyDescent="0.2">
      <c r="A28" s="147" t="s">
        <v>390</v>
      </c>
      <c r="C28" s="147"/>
      <c r="D28" s="147">
        <f>D26/$A$30</f>
        <v>170.41692307692307</v>
      </c>
      <c r="E28" s="147">
        <f t="shared" ref="E28:N28" si="5">E26/$A$30</f>
        <v>175.94307692307692</v>
      </c>
      <c r="F28" s="147">
        <f t="shared" si="5"/>
        <v>185.45384615384614</v>
      </c>
      <c r="G28" s="147">
        <f t="shared" si="5"/>
        <v>118.68615384615384</v>
      </c>
      <c r="H28" s="147">
        <f t="shared" si="5"/>
        <v>97.094039560439555</v>
      </c>
      <c r="I28" s="147">
        <f t="shared" si="5"/>
        <v>113.96846153846154</v>
      </c>
      <c r="J28" s="147">
        <f t="shared" si="5"/>
        <v>171.52307692307693</v>
      </c>
      <c r="K28" s="147">
        <f t="shared" si="5"/>
        <v>93.370769230769227</v>
      </c>
      <c r="L28" s="147">
        <f t="shared" si="5"/>
        <v>145.69076923076923</v>
      </c>
      <c r="M28" s="147">
        <f t="shared" si="5"/>
        <v>135.02615384615385</v>
      </c>
      <c r="N28" s="147">
        <f t="shared" si="5"/>
        <v>38.266153846153848</v>
      </c>
    </row>
    <row r="29" spans="1:14" ht="12" customHeight="1" x14ac:dyDescent="0.2">
      <c r="A29" s="147" t="s">
        <v>397</v>
      </c>
      <c r="C29" s="147"/>
      <c r="D29" s="147">
        <f>D28*43560/100</f>
        <v>74233.611692307692</v>
      </c>
      <c r="E29" s="147">
        <f t="shared" ref="E29:N29" si="6">E28*43560/100</f>
        <v>76640.804307692306</v>
      </c>
      <c r="F29" s="147">
        <f t="shared" si="6"/>
        <v>80783.695384615377</v>
      </c>
      <c r="G29" s="147">
        <f t="shared" si="6"/>
        <v>51699.688615384614</v>
      </c>
      <c r="H29" s="147">
        <f t="shared" si="6"/>
        <v>42294.163632527467</v>
      </c>
      <c r="I29" s="147">
        <f t="shared" si="6"/>
        <v>49644.661846153846</v>
      </c>
      <c r="J29" s="147">
        <f t="shared" si="6"/>
        <v>74715.452307692307</v>
      </c>
      <c r="K29" s="147">
        <f t="shared" si="6"/>
        <v>40672.307076923076</v>
      </c>
      <c r="L29" s="147">
        <f t="shared" si="6"/>
        <v>63462.899076923073</v>
      </c>
      <c r="M29" s="147">
        <f t="shared" si="6"/>
        <v>58817.392615384619</v>
      </c>
      <c r="N29" s="147">
        <f t="shared" si="6"/>
        <v>16668.736615384616</v>
      </c>
    </row>
    <row r="30" spans="1:14" ht="12" customHeight="1" x14ac:dyDescent="0.2">
      <c r="A30" s="135">
        <v>650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</row>
    <row r="31" spans="1:14" ht="12" customHeight="1" x14ac:dyDescent="0.2">
      <c r="A31" s="138" t="s">
        <v>381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</row>
    <row r="32" spans="1:14" ht="12" customHeight="1" x14ac:dyDescent="0.2">
      <c r="A32" s="138" t="s">
        <v>386</v>
      </c>
      <c r="B32" s="147"/>
      <c r="C32" s="147"/>
      <c r="D32" s="147">
        <v>0</v>
      </c>
      <c r="E32" s="147">
        <v>0</v>
      </c>
      <c r="F32" s="147">
        <v>3</v>
      </c>
      <c r="G32" s="147">
        <v>152</v>
      </c>
      <c r="H32" s="147">
        <v>54285.71428571429</v>
      </c>
      <c r="I32" s="147">
        <v>79520</v>
      </c>
      <c r="J32" s="147">
        <v>39060.5</v>
      </c>
      <c r="K32" s="147">
        <v>70602.5</v>
      </c>
      <c r="L32" s="147">
        <v>100199</v>
      </c>
      <c r="M32" s="147">
        <v>104750</v>
      </c>
      <c r="N32" s="147">
        <v>119414</v>
      </c>
    </row>
    <row r="33" spans="1:14" ht="12" customHeight="1" x14ac:dyDescent="0.2">
      <c r="A33" s="159" t="s">
        <v>387</v>
      </c>
      <c r="B33" s="160"/>
      <c r="C33" s="159"/>
      <c r="D33" s="159">
        <v>592.59</v>
      </c>
      <c r="E33" s="159">
        <v>481.16</v>
      </c>
      <c r="F33" s="159">
        <v>549.24</v>
      </c>
      <c r="G33" s="159">
        <v>626</v>
      </c>
      <c r="H33" s="159">
        <v>6251.12</v>
      </c>
      <c r="I33" s="159">
        <v>9929.19</v>
      </c>
      <c r="J33" s="159">
        <v>6309.6</v>
      </c>
      <c r="K33" s="159">
        <v>12962.67</v>
      </c>
      <c r="L33" s="159">
        <v>16153.46</v>
      </c>
      <c r="M33" s="159">
        <v>15853.84</v>
      </c>
      <c r="N33" s="159">
        <v>18355.310000000001</v>
      </c>
    </row>
    <row r="34" spans="1:14" ht="12" customHeight="1" x14ac:dyDescent="0.2">
      <c r="A34" s="147" t="s">
        <v>390</v>
      </c>
      <c r="B34" s="147">
        <v>0</v>
      </c>
      <c r="C34" s="147">
        <v>0</v>
      </c>
      <c r="D34" s="147">
        <f t="shared" ref="D34:N34" si="7">D32/$A$36</f>
        <v>0</v>
      </c>
      <c r="E34" s="147">
        <f t="shared" si="7"/>
        <v>0</v>
      </c>
      <c r="F34" s="147">
        <f t="shared" si="7"/>
        <v>1.2E-2</v>
      </c>
      <c r="G34" s="147">
        <f t="shared" si="7"/>
        <v>0.60799999999999998</v>
      </c>
      <c r="H34" s="147">
        <f t="shared" si="7"/>
        <v>217.14285714285717</v>
      </c>
      <c r="I34" s="147">
        <f t="shared" si="7"/>
        <v>318.08</v>
      </c>
      <c r="J34" s="147">
        <f t="shared" si="7"/>
        <v>156.24199999999999</v>
      </c>
      <c r="K34" s="147">
        <f t="shared" si="7"/>
        <v>282.41000000000003</v>
      </c>
      <c r="L34" s="147">
        <f t="shared" si="7"/>
        <v>400.79599999999999</v>
      </c>
      <c r="M34" s="147">
        <f t="shared" si="7"/>
        <v>419</v>
      </c>
      <c r="N34" s="147">
        <f t="shared" si="7"/>
        <v>477.65600000000001</v>
      </c>
    </row>
    <row r="35" spans="1:14" ht="12" customHeight="1" x14ac:dyDescent="0.2">
      <c r="A35" s="147" t="s">
        <v>397</v>
      </c>
      <c r="D35" s="147">
        <f t="shared" ref="D35:N35" si="8">D34*43560/100</f>
        <v>0</v>
      </c>
      <c r="E35" s="147">
        <f t="shared" si="8"/>
        <v>0</v>
      </c>
      <c r="F35" s="147">
        <f t="shared" si="8"/>
        <v>5.2271999999999998</v>
      </c>
      <c r="G35" s="147">
        <f t="shared" si="8"/>
        <v>264.84480000000002</v>
      </c>
      <c r="H35" s="147">
        <f t="shared" si="8"/>
        <v>94587.42857142858</v>
      </c>
      <c r="I35" s="147">
        <f t="shared" si="8"/>
        <v>138555.64799999999</v>
      </c>
      <c r="J35" s="147">
        <f t="shared" si="8"/>
        <v>68059.015199999994</v>
      </c>
      <c r="K35" s="147">
        <f t="shared" si="8"/>
        <v>123017.79600000002</v>
      </c>
      <c r="L35" s="147">
        <f t="shared" si="8"/>
        <v>174586.73759999999</v>
      </c>
      <c r="M35" s="147">
        <f t="shared" si="8"/>
        <v>182516.4</v>
      </c>
      <c r="N35" s="147">
        <f t="shared" si="8"/>
        <v>208066.95360000001</v>
      </c>
    </row>
    <row r="36" spans="1:14" ht="12" customHeight="1" x14ac:dyDescent="0.2">
      <c r="A36" s="147">
        <v>250</v>
      </c>
    </row>
    <row r="37" spans="1:14" ht="12" customHeight="1" x14ac:dyDescent="0.2">
      <c r="A37" s="138" t="s">
        <v>345</v>
      </c>
      <c r="B37" s="138">
        <v>1997</v>
      </c>
      <c r="C37" s="138">
        <v>1998</v>
      </c>
      <c r="D37" s="138">
        <v>1999</v>
      </c>
      <c r="E37" s="138">
        <v>2000</v>
      </c>
      <c r="F37" s="138">
        <v>2001</v>
      </c>
      <c r="G37" s="138">
        <v>2002</v>
      </c>
      <c r="H37" s="138">
        <v>2003</v>
      </c>
      <c r="I37" s="138">
        <v>2004</v>
      </c>
      <c r="J37" s="138">
        <v>2005</v>
      </c>
      <c r="K37" s="138">
        <v>2006</v>
      </c>
      <c r="L37" s="138">
        <v>2007</v>
      </c>
      <c r="M37" s="138">
        <v>2008</v>
      </c>
      <c r="N37" s="138" t="s">
        <v>380</v>
      </c>
    </row>
    <row r="38" spans="1:14" ht="12" customHeight="1" x14ac:dyDescent="0.2">
      <c r="A38" s="147" t="s">
        <v>355</v>
      </c>
      <c r="B38" s="147">
        <v>286401</v>
      </c>
      <c r="C38" s="147">
        <v>258936</v>
      </c>
      <c r="D38" s="147">
        <v>243674</v>
      </c>
      <c r="E38" s="147">
        <v>252154</v>
      </c>
      <c r="F38" s="147">
        <v>243512</v>
      </c>
      <c r="G38" s="147">
        <v>255631</v>
      </c>
      <c r="H38" s="147">
        <v>245075</v>
      </c>
      <c r="I38" s="147">
        <v>245660</v>
      </c>
      <c r="J38" s="147">
        <v>221470</v>
      </c>
      <c r="K38" s="147">
        <v>244267.5</v>
      </c>
      <c r="L38" s="147">
        <v>240587</v>
      </c>
      <c r="M38" s="147">
        <v>260712</v>
      </c>
      <c r="N38" s="147">
        <v>130922</v>
      </c>
    </row>
    <row r="39" spans="1:14" s="159" customFormat="1" ht="12" customHeight="1" x14ac:dyDescent="0.2">
      <c r="A39" s="138" t="s">
        <v>393</v>
      </c>
      <c r="B39" s="147">
        <v>199000.69800179996</v>
      </c>
      <c r="C39" s="147">
        <v>159561.23736550944</v>
      </c>
      <c r="D39" s="147">
        <v>191534.46920451679</v>
      </c>
      <c r="E39" s="147">
        <v>223647.09387987945</v>
      </c>
      <c r="F39" s="147">
        <v>222026.65215724858</v>
      </c>
      <c r="G39" s="147">
        <v>160606.68363817452</v>
      </c>
      <c r="H39" s="147">
        <v>157252.54351337402</v>
      </c>
      <c r="I39" s="147">
        <v>166225.9573537494</v>
      </c>
      <c r="J39" s="147">
        <v>115295.29977041506</v>
      </c>
      <c r="K39" s="147">
        <v>143709.658256225</v>
      </c>
      <c r="L39" s="147">
        <v>175190.65914185255</v>
      </c>
      <c r="M39" s="147">
        <v>184564.8273867495</v>
      </c>
      <c r="N39" s="147">
        <v>95052.846315937248</v>
      </c>
    </row>
    <row r="40" spans="1:14" s="147" customFormat="1" ht="12" customHeight="1" x14ac:dyDescent="0.2">
      <c r="A40" s="158" t="s">
        <v>398</v>
      </c>
      <c r="B40" s="138"/>
      <c r="D40" s="147">
        <v>74233.611692307692</v>
      </c>
      <c r="E40" s="147">
        <v>76640.804307692306</v>
      </c>
      <c r="F40" s="147">
        <v>80783.695384615377</v>
      </c>
      <c r="G40" s="147">
        <v>51699.688615384614</v>
      </c>
      <c r="H40" s="147">
        <v>42294.163632527467</v>
      </c>
      <c r="I40" s="147">
        <v>49644.661846153846</v>
      </c>
      <c r="J40" s="147">
        <v>74715.452307692307</v>
      </c>
      <c r="K40" s="147">
        <v>40672.307076923076</v>
      </c>
      <c r="L40" s="147">
        <v>63462.899076923073</v>
      </c>
      <c r="M40" s="147">
        <v>58817.392615384619</v>
      </c>
      <c r="N40" s="147">
        <v>16668.736615384616</v>
      </c>
    </row>
    <row r="41" spans="1:14" s="147" customFormat="1" ht="12" customHeight="1" x14ac:dyDescent="0.2">
      <c r="A41" s="138" t="s">
        <v>345</v>
      </c>
      <c r="B41" s="138">
        <v>1997</v>
      </c>
      <c r="C41" s="138">
        <v>1998</v>
      </c>
      <c r="D41" s="138">
        <v>1999</v>
      </c>
      <c r="E41" s="138">
        <v>2000</v>
      </c>
      <c r="F41" s="138">
        <v>2001</v>
      </c>
      <c r="G41" s="138">
        <v>2002</v>
      </c>
      <c r="H41" s="138">
        <v>2003</v>
      </c>
      <c r="I41" s="138">
        <v>2004</v>
      </c>
      <c r="J41" s="138">
        <v>2005</v>
      </c>
      <c r="K41" s="138">
        <v>2006</v>
      </c>
      <c r="L41" s="138">
        <v>2007</v>
      </c>
      <c r="M41" s="138">
        <v>2008</v>
      </c>
      <c r="N41" s="138" t="s">
        <v>380</v>
      </c>
    </row>
    <row r="42" spans="1:14" x14ac:dyDescent="0.2">
      <c r="A42" s="138" t="s">
        <v>399</v>
      </c>
      <c r="B42" s="147">
        <f>SUM(B38:B40)</f>
        <v>485401.69800179999</v>
      </c>
      <c r="C42" s="147">
        <f t="shared" ref="C42:N42" si="9">SUM(C38:C40)</f>
        <v>418497.23736550944</v>
      </c>
      <c r="D42" s="147">
        <f t="shared" si="9"/>
        <v>509442.08089682448</v>
      </c>
      <c r="E42" s="147">
        <f t="shared" si="9"/>
        <v>552441.89818757179</v>
      </c>
      <c r="F42" s="147">
        <f t="shared" si="9"/>
        <v>546322.34754186391</v>
      </c>
      <c r="G42" s="147">
        <f t="shared" si="9"/>
        <v>467937.37225355918</v>
      </c>
      <c r="H42" s="147">
        <f t="shared" si="9"/>
        <v>444621.70714590151</v>
      </c>
      <c r="I42" s="147">
        <f t="shared" si="9"/>
        <v>461530.61919990327</v>
      </c>
      <c r="J42" s="147">
        <f t="shared" si="9"/>
        <v>411480.75207810738</v>
      </c>
      <c r="K42" s="147">
        <f t="shared" si="9"/>
        <v>428649.46533314808</v>
      </c>
      <c r="L42" s="147">
        <f t="shared" si="9"/>
        <v>479240.55821877561</v>
      </c>
      <c r="M42" s="147">
        <f t="shared" si="9"/>
        <v>504094.2200021341</v>
      </c>
      <c r="N42" s="147">
        <f t="shared" si="9"/>
        <v>242643.58293132184</v>
      </c>
    </row>
    <row r="43" spans="1:14" x14ac:dyDescent="0.2">
      <c r="A43" s="138" t="s">
        <v>401</v>
      </c>
      <c r="B43" s="154">
        <f>SUM(B14:B15,B27,B33)</f>
        <v>165641.34000000003</v>
      </c>
      <c r="C43" s="154">
        <f>SUM(C14:C15,C27,C33)</f>
        <v>167495.67999999999</v>
      </c>
      <c r="D43" s="154">
        <f>SUM(D14:D15,D27,D33)</f>
        <v>266704.58</v>
      </c>
      <c r="E43" s="154">
        <f>SUM(E14:E15,E27,E33)</f>
        <v>354472.80999999994</v>
      </c>
      <c r="F43" s="154">
        <f>SUM(F14:F15,F27,F33)</f>
        <v>341300.02</v>
      </c>
      <c r="G43" s="154">
        <f>SUM(G14:G15,G27,G33)</f>
        <v>270452.13</v>
      </c>
      <c r="H43" s="154">
        <f>SUM(H14:H15,H27,H33)</f>
        <v>244101.26</v>
      </c>
      <c r="I43" s="154">
        <f>SUM(I14:I15,I27,I33)</f>
        <v>369939.89</v>
      </c>
      <c r="J43" s="154">
        <f>SUM(J14:J15,J27,J33)</f>
        <v>287346.89</v>
      </c>
      <c r="K43" s="154">
        <f>SUM(K14:K15,K27,K33)</f>
        <v>276864.90637517493</v>
      </c>
      <c r="L43" s="154">
        <f>SUM(L14:L15,L27,L33)</f>
        <v>342909.64</v>
      </c>
      <c r="M43" s="154">
        <f>SUM(M14:M15,M27,M33)</f>
        <v>378065.23000000004</v>
      </c>
      <c r="N43" s="154">
        <f>SUM(N14:N15,N27,N33)</f>
        <v>216735.7</v>
      </c>
    </row>
    <row r="45" spans="1:14" s="147" customFormat="1" x14ac:dyDescent="0.2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</row>
    <row r="63" spans="1:1" x14ac:dyDescent="0.2">
      <c r="A63" s="138" t="s">
        <v>335</v>
      </c>
    </row>
    <row r="76" spans="1:1" x14ac:dyDescent="0.2">
      <c r="A76" s="138" t="s">
        <v>403</v>
      </c>
    </row>
  </sheetData>
  <phoneticPr fontId="7" type="noConversion"/>
  <pageMargins left="0.75" right="0.75" top="1" bottom="1" header="0.5" footer="0.5"/>
  <pageSetup orientation="landscape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R51"/>
  <sheetViews>
    <sheetView topLeftCell="A19" zoomScaleNormal="100" workbookViewId="0">
      <selection activeCell="A38" sqref="A38:O51"/>
    </sheetView>
  </sheetViews>
  <sheetFormatPr defaultColWidth="9.77734375" defaultRowHeight="12.75" x14ac:dyDescent="0.2"/>
  <cols>
    <col min="1" max="1" width="8.5546875" style="92" customWidth="1"/>
    <col min="2" max="2" width="6.109375" style="92" bestFit="1" customWidth="1"/>
    <col min="3" max="11" width="8" style="92" customWidth="1"/>
    <col min="12" max="15" width="8.77734375" style="92" customWidth="1"/>
    <col min="16" max="16" width="10.44140625" style="92" bestFit="1" customWidth="1"/>
    <col min="17" max="16384" width="9.77734375" style="92"/>
  </cols>
  <sheetData>
    <row r="1" spans="1:18" ht="15" x14ac:dyDescent="0.25">
      <c r="A1" s="175"/>
      <c r="B1" s="175"/>
      <c r="C1" s="175"/>
      <c r="D1" s="175" t="s">
        <v>327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8" x14ac:dyDescent="0.2">
      <c r="A2" s="92" t="s">
        <v>420</v>
      </c>
      <c r="B2" s="92" t="s">
        <v>433</v>
      </c>
      <c r="C2" s="92" t="s">
        <v>407</v>
      </c>
      <c r="D2" s="92" t="s">
        <v>408</v>
      </c>
      <c r="E2" s="92" t="s">
        <v>409</v>
      </c>
      <c r="F2" s="92" t="s">
        <v>410</v>
      </c>
      <c r="G2" s="92" t="s">
        <v>411</v>
      </c>
      <c r="H2" s="92" t="s">
        <v>412</v>
      </c>
      <c r="I2" s="92" t="s">
        <v>413</v>
      </c>
      <c r="J2" s="92" t="s">
        <v>414</v>
      </c>
      <c r="K2" s="92" t="s">
        <v>415</v>
      </c>
      <c r="L2" s="92" t="s">
        <v>416</v>
      </c>
      <c r="M2" s="92" t="s">
        <v>417</v>
      </c>
      <c r="N2" s="92" t="s">
        <v>418</v>
      </c>
      <c r="O2" s="92" t="s">
        <v>419</v>
      </c>
      <c r="Q2" s="94" t="s">
        <v>357</v>
      </c>
    </row>
    <row r="3" spans="1:18" x14ac:dyDescent="0.2">
      <c r="A3" s="92" t="s">
        <v>0</v>
      </c>
      <c r="B3" s="92">
        <v>33.47</v>
      </c>
      <c r="C3" s="93">
        <v>40.22</v>
      </c>
      <c r="D3" s="93">
        <v>33.840000000000003</v>
      </c>
      <c r="E3" s="93">
        <v>45.04</v>
      </c>
      <c r="F3" s="93">
        <v>39.75</v>
      </c>
      <c r="G3" s="93">
        <v>42.06</v>
      </c>
      <c r="H3" s="93">
        <v>51.12</v>
      </c>
      <c r="I3" s="93">
        <v>30.46</v>
      </c>
      <c r="J3" s="93">
        <v>35.799999999999997</v>
      </c>
      <c r="K3" s="93">
        <v>33.24</v>
      </c>
      <c r="L3" s="93">
        <v>36.54</v>
      </c>
      <c r="M3" s="93">
        <v>39.82</v>
      </c>
      <c r="N3" s="93">
        <v>36.17</v>
      </c>
      <c r="O3" s="93">
        <v>50.75</v>
      </c>
      <c r="Q3" s="92" t="s">
        <v>358</v>
      </c>
      <c r="R3" s="95">
        <f>C16+C36</f>
        <v>955.04230769230753</v>
      </c>
    </row>
    <row r="4" spans="1:18" x14ac:dyDescent="0.2">
      <c r="A4" s="92" t="s">
        <v>1</v>
      </c>
      <c r="B4" s="92">
        <v>45.37</v>
      </c>
      <c r="C4" s="93">
        <v>42.44</v>
      </c>
      <c r="D4" s="93">
        <v>26.71</v>
      </c>
      <c r="E4" s="93">
        <v>40.89</v>
      </c>
      <c r="F4" s="93">
        <v>43.84</v>
      </c>
      <c r="G4" s="93">
        <v>28.69</v>
      </c>
      <c r="H4" s="93">
        <v>24.21</v>
      </c>
      <c r="I4" s="93">
        <v>39.909999999999997</v>
      </c>
      <c r="J4" s="93">
        <v>38.96</v>
      </c>
      <c r="K4" s="93">
        <v>35.28</v>
      </c>
      <c r="L4" s="93">
        <v>41.92</v>
      </c>
      <c r="M4" s="93">
        <v>34.200000000000003</v>
      </c>
      <c r="N4" s="93">
        <v>36.96</v>
      </c>
      <c r="O4" s="93">
        <v>39.229999999999997</v>
      </c>
      <c r="R4" s="95">
        <f>F15+F35</f>
        <v>1087.5900000000001</v>
      </c>
    </row>
    <row r="5" spans="1:18" x14ac:dyDescent="0.2">
      <c r="A5" s="92" t="s">
        <v>2</v>
      </c>
      <c r="B5" s="92">
        <v>29.41</v>
      </c>
      <c r="C5" s="93">
        <v>48.96</v>
      </c>
      <c r="D5" s="93">
        <v>35.94</v>
      </c>
      <c r="E5" s="93">
        <v>30</v>
      </c>
      <c r="F5" s="93">
        <v>39.57</v>
      </c>
      <c r="G5" s="93">
        <v>45.45</v>
      </c>
      <c r="H5" s="93">
        <v>40.909999999999997</v>
      </c>
      <c r="I5" s="93">
        <v>32.56</v>
      </c>
      <c r="J5" s="93">
        <v>37.74</v>
      </c>
      <c r="K5" s="93">
        <v>35.74</v>
      </c>
      <c r="L5" s="93">
        <v>27.62</v>
      </c>
      <c r="M5" s="93">
        <v>40.4</v>
      </c>
      <c r="N5" s="93">
        <v>42.76</v>
      </c>
      <c r="O5" s="93">
        <v>40.11</v>
      </c>
      <c r="Q5" s="92" t="s">
        <v>359</v>
      </c>
    </row>
    <row r="6" spans="1:18" ht="14.25" x14ac:dyDescent="0.2">
      <c r="A6" s="92" t="s">
        <v>3</v>
      </c>
      <c r="B6" s="92">
        <v>56.06</v>
      </c>
      <c r="C6" s="93">
        <v>54.47</v>
      </c>
      <c r="D6" s="93">
        <v>51.41</v>
      </c>
      <c r="E6" s="93">
        <v>51</v>
      </c>
      <c r="F6" s="93">
        <v>44.69</v>
      </c>
      <c r="G6" s="93">
        <v>49.84</v>
      </c>
      <c r="H6" s="93">
        <v>44.75</v>
      </c>
      <c r="I6" s="93">
        <v>45.62</v>
      </c>
      <c r="J6" s="93">
        <v>62.97</v>
      </c>
      <c r="K6" s="93">
        <v>39.21</v>
      </c>
      <c r="L6" s="93">
        <v>35.08</v>
      </c>
      <c r="M6" s="93">
        <v>49.5</v>
      </c>
      <c r="N6" s="93">
        <v>53.69</v>
      </c>
      <c r="O6" s="93">
        <v>56.1</v>
      </c>
      <c r="Q6" s="92" t="s">
        <v>360</v>
      </c>
      <c r="R6" s="92">
        <f>(R4/365)*Q7/1000000</f>
        <v>0.97094488100010024</v>
      </c>
    </row>
    <row r="7" spans="1:18" x14ac:dyDescent="0.2">
      <c r="A7" s="92" t="s">
        <v>4</v>
      </c>
      <c r="B7" s="92">
        <v>37.01</v>
      </c>
      <c r="C7" s="93">
        <v>85.42</v>
      </c>
      <c r="D7" s="93">
        <v>44.69</v>
      </c>
      <c r="E7" s="93">
        <v>41</v>
      </c>
      <c r="F7" s="93">
        <v>69.849999999999994</v>
      </c>
      <c r="G7" s="93">
        <v>74.64</v>
      </c>
      <c r="H7" s="93">
        <v>63</v>
      </c>
      <c r="I7" s="93">
        <v>46.86</v>
      </c>
      <c r="J7" s="93">
        <v>61.17</v>
      </c>
      <c r="K7" s="93">
        <v>46.58</v>
      </c>
      <c r="L7" s="93">
        <v>51.56</v>
      </c>
      <c r="M7" s="93">
        <v>64.56</v>
      </c>
      <c r="N7" s="93">
        <v>65.709999999999994</v>
      </c>
      <c r="O7" s="93">
        <v>62.66</v>
      </c>
      <c r="Q7" s="92">
        <v>325853.3836878204</v>
      </c>
    </row>
    <row r="8" spans="1:18" x14ac:dyDescent="0.2">
      <c r="A8" s="92" t="s">
        <v>5</v>
      </c>
      <c r="B8" s="92">
        <v>68.819999999999993</v>
      </c>
      <c r="C8" s="93">
        <v>59.31</v>
      </c>
      <c r="D8" s="93">
        <v>42.34</v>
      </c>
      <c r="E8" s="93">
        <v>56</v>
      </c>
      <c r="F8" s="93">
        <v>49.19</v>
      </c>
      <c r="G8" s="93">
        <v>40.15</v>
      </c>
      <c r="H8" s="93">
        <v>52.5</v>
      </c>
      <c r="I8" s="93">
        <v>44.93</v>
      </c>
      <c r="J8" s="93">
        <v>53.09</v>
      </c>
      <c r="K8" s="93">
        <v>59.59</v>
      </c>
      <c r="L8" s="93">
        <v>44.01</v>
      </c>
      <c r="M8" s="93">
        <v>47.21</v>
      </c>
      <c r="N8" s="93">
        <v>51.8</v>
      </c>
      <c r="O8" s="93">
        <v>58.34</v>
      </c>
    </row>
    <row r="9" spans="1:18" x14ac:dyDescent="0.2">
      <c r="A9" s="92" t="s">
        <v>6</v>
      </c>
      <c r="B9" s="92">
        <v>96.69</v>
      </c>
      <c r="C9" s="93">
        <v>57.21</v>
      </c>
      <c r="D9" s="93">
        <v>59.16</v>
      </c>
      <c r="E9" s="93">
        <v>55</v>
      </c>
      <c r="F9" s="93">
        <v>48.25</v>
      </c>
      <c r="G9" s="93">
        <v>66.3</v>
      </c>
      <c r="H9" s="93">
        <v>41.79</v>
      </c>
      <c r="I9" s="93">
        <v>58.13</v>
      </c>
      <c r="J9" s="93">
        <v>51.22</v>
      </c>
      <c r="K9" s="93">
        <v>46.98</v>
      </c>
      <c r="L9" s="93">
        <v>50.4</v>
      </c>
      <c r="M9" s="93">
        <v>48.45</v>
      </c>
      <c r="N9" s="93">
        <v>54.96</v>
      </c>
      <c r="O9" s="93"/>
    </row>
    <row r="10" spans="1:18" x14ac:dyDescent="0.2">
      <c r="A10" s="92" t="s">
        <v>7</v>
      </c>
      <c r="B10" s="92">
        <v>52.89</v>
      </c>
      <c r="C10" s="93">
        <v>56.62</v>
      </c>
      <c r="D10" s="93">
        <v>49.23</v>
      </c>
      <c r="E10" s="93">
        <v>51</v>
      </c>
      <c r="F10" s="93">
        <v>49.93</v>
      </c>
      <c r="G10" s="93">
        <v>48.8</v>
      </c>
      <c r="H10" s="93">
        <v>51</v>
      </c>
      <c r="I10" s="93">
        <v>44.24</v>
      </c>
      <c r="J10" s="93">
        <v>40.049999999999997</v>
      </c>
      <c r="K10" s="93">
        <v>48.88</v>
      </c>
      <c r="L10" s="93">
        <v>40.270000000000003</v>
      </c>
      <c r="M10" s="93">
        <v>44.16</v>
      </c>
      <c r="N10" s="93">
        <v>49.97</v>
      </c>
      <c r="O10" s="93"/>
    </row>
    <row r="11" spans="1:18" x14ac:dyDescent="0.2">
      <c r="A11" s="92" t="s">
        <v>8</v>
      </c>
      <c r="B11" s="92">
        <v>56.49</v>
      </c>
      <c r="C11" s="93">
        <v>56.48</v>
      </c>
      <c r="D11" s="93">
        <v>52.77</v>
      </c>
      <c r="E11" s="93">
        <v>55</v>
      </c>
      <c r="F11" s="93">
        <v>61.17</v>
      </c>
      <c r="G11" s="93">
        <v>36.880000000000003</v>
      </c>
      <c r="H11" s="93">
        <v>55</v>
      </c>
      <c r="I11" s="93">
        <v>58.21</v>
      </c>
      <c r="J11" s="93">
        <v>62.85</v>
      </c>
      <c r="K11" s="93">
        <v>49.48</v>
      </c>
      <c r="L11" s="93">
        <v>44.59</v>
      </c>
      <c r="M11" s="93">
        <v>53.6</v>
      </c>
      <c r="N11" s="93">
        <v>62.75</v>
      </c>
      <c r="O11" s="93"/>
    </row>
    <row r="12" spans="1:18" x14ac:dyDescent="0.2">
      <c r="A12" s="92" t="s">
        <v>9</v>
      </c>
      <c r="B12" s="92">
        <v>44.31</v>
      </c>
      <c r="C12" s="93">
        <v>77.28</v>
      </c>
      <c r="D12" s="93">
        <v>70.2</v>
      </c>
      <c r="E12" s="93">
        <v>61.48</v>
      </c>
      <c r="F12" s="93">
        <v>50.8</v>
      </c>
      <c r="G12" s="93">
        <v>56.09</v>
      </c>
      <c r="H12" s="93">
        <v>57</v>
      </c>
      <c r="I12" s="93">
        <v>56.16</v>
      </c>
      <c r="J12" s="93">
        <v>52.52</v>
      </c>
      <c r="K12" s="93">
        <v>53.66</v>
      </c>
      <c r="L12" s="93">
        <v>62.16</v>
      </c>
      <c r="M12" s="93">
        <v>60.51</v>
      </c>
      <c r="N12" s="93">
        <v>79.87</v>
      </c>
      <c r="O12" s="93"/>
    </row>
    <row r="13" spans="1:18" x14ac:dyDescent="0.2">
      <c r="A13" s="92" t="s">
        <v>10</v>
      </c>
      <c r="B13" s="92">
        <v>34.44</v>
      </c>
      <c r="C13" s="93">
        <v>44.62</v>
      </c>
      <c r="D13" s="93">
        <v>44.29</v>
      </c>
      <c r="E13" s="93">
        <v>35.86</v>
      </c>
      <c r="F13" s="93">
        <v>49.26</v>
      </c>
      <c r="G13" s="93">
        <v>45.86</v>
      </c>
      <c r="H13" s="93">
        <v>44</v>
      </c>
      <c r="I13" s="93">
        <v>43.56</v>
      </c>
      <c r="J13" s="93">
        <v>39.36</v>
      </c>
      <c r="K13" s="93">
        <v>52.23</v>
      </c>
      <c r="L13" s="93">
        <v>46.19</v>
      </c>
      <c r="M13" s="93">
        <v>48.2</v>
      </c>
      <c r="N13" s="93">
        <v>50.52</v>
      </c>
      <c r="O13" s="93"/>
    </row>
    <row r="14" spans="1:18" x14ac:dyDescent="0.2">
      <c r="A14" s="92" t="s">
        <v>11</v>
      </c>
      <c r="B14" s="92">
        <v>32.53</v>
      </c>
      <c r="C14" s="93">
        <v>24.89</v>
      </c>
      <c r="D14" s="93">
        <v>35.97</v>
      </c>
      <c r="E14" s="93">
        <v>41.47</v>
      </c>
      <c r="F14" s="93">
        <v>27.87</v>
      </c>
      <c r="G14" s="93">
        <v>25.58</v>
      </c>
      <c r="H14" s="93">
        <v>31</v>
      </c>
      <c r="I14" s="93">
        <v>28.76</v>
      </c>
      <c r="J14" s="93">
        <v>27.42</v>
      </c>
      <c r="K14" s="93">
        <v>21.07</v>
      </c>
      <c r="L14" s="93">
        <v>28.64</v>
      </c>
      <c r="M14" s="93">
        <v>21.61</v>
      </c>
      <c r="N14" s="93">
        <v>30.72</v>
      </c>
      <c r="O14" s="93"/>
    </row>
    <row r="15" spans="1:18" s="95" customFormat="1" x14ac:dyDescent="0.2">
      <c r="A15" s="94" t="s">
        <v>12</v>
      </c>
      <c r="B15" s="94">
        <f>SUM(B3:B14)</f>
        <v>587.49</v>
      </c>
      <c r="C15" s="94">
        <f t="shared" ref="C15:O15" si="0">SUM(C3:C14)</f>
        <v>647.91999999999996</v>
      </c>
      <c r="D15" s="94">
        <f t="shared" si="0"/>
        <v>546.55000000000007</v>
      </c>
      <c r="E15" s="94">
        <f t="shared" si="0"/>
        <v>563.74</v>
      </c>
      <c r="F15" s="94">
        <f t="shared" si="0"/>
        <v>574.17000000000007</v>
      </c>
      <c r="G15" s="94">
        <f t="shared" si="0"/>
        <v>560.34</v>
      </c>
      <c r="H15" s="94">
        <f t="shared" si="0"/>
        <v>556.28</v>
      </c>
      <c r="I15" s="94">
        <f t="shared" si="0"/>
        <v>529.40000000000009</v>
      </c>
      <c r="J15" s="94">
        <f t="shared" si="0"/>
        <v>563.15</v>
      </c>
      <c r="K15" s="94">
        <f t="shared" si="0"/>
        <v>521.94000000000005</v>
      </c>
      <c r="L15" s="94">
        <f t="shared" si="0"/>
        <v>508.97999999999996</v>
      </c>
      <c r="M15" s="94">
        <f t="shared" si="0"/>
        <v>552.22</v>
      </c>
      <c r="N15" s="94">
        <f t="shared" si="0"/>
        <v>615.88</v>
      </c>
      <c r="O15" s="94">
        <f t="shared" si="0"/>
        <v>307.18999999999994</v>
      </c>
      <c r="P15" s="95">
        <f>SUM(C15:N15)</f>
        <v>6740.57</v>
      </c>
    </row>
    <row r="16" spans="1:18" s="95" customFormat="1" x14ac:dyDescent="0.2">
      <c r="A16" s="94" t="s">
        <v>356</v>
      </c>
      <c r="B16" s="94"/>
      <c r="C16" s="94">
        <f>AVERAGE(B15:N15)</f>
        <v>563.69692307692299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16" ht="15" x14ac:dyDescent="0.25">
      <c r="C17" s="175"/>
      <c r="D17" s="175" t="s">
        <v>328</v>
      </c>
      <c r="E17" s="175"/>
      <c r="F17" s="175"/>
      <c r="G17" s="175"/>
      <c r="H17" s="175"/>
      <c r="I17" s="175"/>
      <c r="J17" s="175"/>
      <c r="K17" s="175"/>
      <c r="L17" s="175"/>
      <c r="M17" s="175" t="s">
        <v>339</v>
      </c>
      <c r="N17" s="175"/>
      <c r="O17" s="175"/>
      <c r="P17" s="96">
        <v>2.2956703397887974E-3</v>
      </c>
    </row>
    <row r="18" spans="1:16" s="95" customFormat="1" x14ac:dyDescent="0.2">
      <c r="C18" s="95" t="s">
        <v>420</v>
      </c>
      <c r="D18" s="95" t="s">
        <v>421</v>
      </c>
      <c r="E18" s="95" t="s">
        <v>422</v>
      </c>
      <c r="F18" s="95" t="s">
        <v>423</v>
      </c>
      <c r="G18" s="95" t="s">
        <v>424</v>
      </c>
      <c r="H18" s="95" t="s">
        <v>425</v>
      </c>
      <c r="I18" s="95" t="s">
        <v>426</v>
      </c>
      <c r="J18" s="95" t="s">
        <v>427</v>
      </c>
      <c r="K18" s="95" t="s">
        <v>428</v>
      </c>
      <c r="L18" s="95" t="s">
        <v>429</v>
      </c>
      <c r="M18" s="95" t="s">
        <v>430</v>
      </c>
      <c r="N18" s="95" t="s">
        <v>431</v>
      </c>
      <c r="O18" s="95" t="s">
        <v>432</v>
      </c>
      <c r="P18" s="95">
        <f>SUM(C19:N19)</f>
        <v>6882.6021844788274</v>
      </c>
    </row>
    <row r="19" spans="1:16" x14ac:dyDescent="0.2">
      <c r="C19" s="95">
        <f>'Usage-Cost'!B4*'Consumption-City'!$P$17</f>
        <v>657.48228098585139</v>
      </c>
      <c r="D19" s="95">
        <f>'Usage-Cost'!C4*'Consumption-City'!$P$17</f>
        <v>594.4316951035521</v>
      </c>
      <c r="E19" s="95">
        <f>'Usage-Cost'!D4*'Consumption-City'!$P$17</f>
        <v>559.39517437769541</v>
      </c>
      <c r="F19" s="95">
        <f>'Usage-Cost'!E4*'Consumption-City'!$P$17</f>
        <v>578.86245885910444</v>
      </c>
      <c r="G19" s="95">
        <f>'Usage-Cost'!F4*'Consumption-City'!$P$17</f>
        <v>559.02327578264965</v>
      </c>
      <c r="H19" s="95">
        <f>'Usage-Cost'!G4*'Consumption-City'!$P$17</f>
        <v>586.84450463055009</v>
      </c>
      <c r="I19" s="95">
        <f>'Usage-Cost'!H4*'Consumption-City'!$P$17</f>
        <v>562.61140852373956</v>
      </c>
      <c r="J19" s="95">
        <f>'Usage-Cost'!I4*'Consumption-City'!$P$17</f>
        <v>563.95437567251599</v>
      </c>
      <c r="K19" s="95">
        <f>'Usage-Cost'!J4*'Consumption-City'!$P$17</f>
        <v>508.42211015302496</v>
      </c>
      <c r="L19" s="95">
        <f>'Usage-Cost'!K4*'Consumption-City'!$P$17</f>
        <v>560.75765472436012</v>
      </c>
      <c r="M19" s="95">
        <f>'Usage-Cost'!L4*'Consumption-City'!$P$17</f>
        <v>552.30844003876746</v>
      </c>
      <c r="N19" s="95">
        <f>'Usage-Cost'!M4*'Consumption-City'!$P$17</f>
        <v>598.50880562701695</v>
      </c>
      <c r="O19" s="95"/>
      <c r="P19" s="97">
        <f>((P18-P15)/P15)</f>
        <v>2.1071242414043283E-2</v>
      </c>
    </row>
    <row r="20" spans="1:16" x14ac:dyDescent="0.2">
      <c r="C20" s="97">
        <f t="shared" ref="C20:O20" si="1">((C19-C15)/C15)</f>
        <v>1.4758428487855647E-2</v>
      </c>
      <c r="D20" s="97">
        <f t="shared" si="1"/>
        <v>8.7607163303544094E-2</v>
      </c>
      <c r="E20" s="97">
        <f t="shared" si="1"/>
        <v>-7.7071444678479392E-3</v>
      </c>
      <c r="F20" s="97">
        <f t="shared" si="1"/>
        <v>8.1725949790207812E-3</v>
      </c>
      <c r="G20" s="97">
        <f t="shared" si="1"/>
        <v>-2.349866540583188E-3</v>
      </c>
      <c r="H20" s="97">
        <f t="shared" si="1"/>
        <v>5.4944460758161576E-2</v>
      </c>
      <c r="I20" s="97">
        <f t="shared" si="1"/>
        <v>6.2734054634944206E-2</v>
      </c>
      <c r="J20" s="97">
        <f t="shared" si="1"/>
        <v>1.4283506570469972E-3</v>
      </c>
      <c r="K20" s="97">
        <f t="shared" si="1"/>
        <v>-2.5899317636079038E-2</v>
      </c>
      <c r="L20" s="97">
        <f t="shared" si="1"/>
        <v>0.10172826972446887</v>
      </c>
      <c r="M20" s="97">
        <f t="shared" si="1"/>
        <v>1.6015363218903778E-4</v>
      </c>
      <c r="N20" s="97">
        <f t="shared" si="1"/>
        <v>-2.8205485440317986E-2</v>
      </c>
      <c r="O20" s="97">
        <f t="shared" si="1"/>
        <v>-1</v>
      </c>
      <c r="P20" s="97"/>
    </row>
    <row r="21" spans="1:16" ht="15" x14ac:dyDescent="0.25">
      <c r="A21" s="177" t="s">
        <v>329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5"/>
      <c r="L21" s="178"/>
      <c r="M21" s="178"/>
      <c r="N21" s="178"/>
      <c r="O21" s="178"/>
    </row>
    <row r="22" spans="1:16" x14ac:dyDescent="0.2">
      <c r="A22" s="92" t="s">
        <v>420</v>
      </c>
      <c r="B22" s="98" t="s">
        <v>433</v>
      </c>
      <c r="C22" s="98" t="s">
        <v>407</v>
      </c>
      <c r="D22" s="98" t="s">
        <v>408</v>
      </c>
      <c r="E22" s="98" t="s">
        <v>409</v>
      </c>
      <c r="F22" s="98" t="s">
        <v>410</v>
      </c>
      <c r="G22" s="98" t="s">
        <v>411</v>
      </c>
      <c r="H22" s="98" t="s">
        <v>412</v>
      </c>
      <c r="I22" s="98" t="s">
        <v>413</v>
      </c>
      <c r="J22" s="98" t="s">
        <v>414</v>
      </c>
      <c r="K22" s="98" t="s">
        <v>415</v>
      </c>
      <c r="L22" s="98" t="s">
        <v>416</v>
      </c>
      <c r="M22" s="98" t="s">
        <v>417</v>
      </c>
      <c r="N22" s="99" t="s">
        <v>418</v>
      </c>
      <c r="O22" s="99" t="s">
        <v>419</v>
      </c>
    </row>
    <row r="23" spans="1:16" x14ac:dyDescent="0.2">
      <c r="A23" s="98" t="s">
        <v>0</v>
      </c>
      <c r="B23" s="100"/>
      <c r="C23" s="100">
        <v>0</v>
      </c>
      <c r="D23" s="100">
        <v>0</v>
      </c>
      <c r="E23" s="100">
        <v>0</v>
      </c>
      <c r="F23" s="100">
        <v>26.7</v>
      </c>
      <c r="G23" s="100">
        <v>12.3</v>
      </c>
      <c r="H23" s="100">
        <v>0</v>
      </c>
      <c r="I23" s="100">
        <v>0</v>
      </c>
      <c r="J23" s="100">
        <v>0</v>
      </c>
      <c r="K23" s="93">
        <v>4.5</v>
      </c>
      <c r="L23" s="100">
        <v>0</v>
      </c>
      <c r="M23" s="100">
        <v>5</v>
      </c>
      <c r="N23" s="101">
        <v>0.66</v>
      </c>
      <c r="O23" s="101">
        <v>23.43</v>
      </c>
    </row>
    <row r="24" spans="1:16" x14ac:dyDescent="0.2">
      <c r="A24" s="98" t="s">
        <v>1</v>
      </c>
      <c r="B24" s="100"/>
      <c r="C24" s="100">
        <v>0</v>
      </c>
      <c r="D24" s="100">
        <v>0</v>
      </c>
      <c r="E24" s="100">
        <v>2.8</v>
      </c>
      <c r="F24" s="100">
        <v>4.74</v>
      </c>
      <c r="G24" s="100">
        <v>0</v>
      </c>
      <c r="H24" s="100">
        <v>0</v>
      </c>
      <c r="I24" s="100">
        <v>0</v>
      </c>
      <c r="J24" s="100">
        <v>0</v>
      </c>
      <c r="K24" s="93">
        <v>1.8</v>
      </c>
      <c r="L24" s="100">
        <v>6.64</v>
      </c>
      <c r="M24" s="100">
        <v>3</v>
      </c>
      <c r="N24" s="101">
        <v>1.7</v>
      </c>
      <c r="O24" s="101">
        <v>10.53</v>
      </c>
    </row>
    <row r="25" spans="1:16" x14ac:dyDescent="0.2">
      <c r="A25" s="98" t="s">
        <v>2</v>
      </c>
      <c r="B25" s="100">
        <v>0</v>
      </c>
      <c r="C25" s="100">
        <v>16.170000000000002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93">
        <v>0</v>
      </c>
      <c r="L25" s="100">
        <v>0</v>
      </c>
      <c r="M25" s="100">
        <v>19.059999999999999</v>
      </c>
      <c r="N25" s="101">
        <v>3.1</v>
      </c>
      <c r="O25" s="101">
        <v>14.44</v>
      </c>
    </row>
    <row r="26" spans="1:16" x14ac:dyDescent="0.2">
      <c r="A26" s="98" t="s">
        <v>3</v>
      </c>
      <c r="B26" s="100">
        <v>0</v>
      </c>
      <c r="C26" s="100">
        <v>14.9</v>
      </c>
      <c r="D26" s="100">
        <v>0</v>
      </c>
      <c r="E26" s="100">
        <v>0</v>
      </c>
      <c r="F26" s="100">
        <v>49.1</v>
      </c>
      <c r="G26" s="100">
        <v>11.1</v>
      </c>
      <c r="H26" s="100">
        <v>0</v>
      </c>
      <c r="I26" s="100">
        <v>8.9</v>
      </c>
      <c r="J26" s="100">
        <v>59.4</v>
      </c>
      <c r="K26" s="93">
        <v>16.7</v>
      </c>
      <c r="L26" s="100">
        <v>0.89</v>
      </c>
      <c r="M26" s="100">
        <v>18.010000000000002</v>
      </c>
      <c r="N26" s="101">
        <v>28.26</v>
      </c>
      <c r="O26" s="101">
        <v>50.68</v>
      </c>
    </row>
    <row r="27" spans="1:16" x14ac:dyDescent="0.2">
      <c r="A27" s="98" t="s">
        <v>4</v>
      </c>
      <c r="B27" s="100">
        <v>15.92</v>
      </c>
      <c r="C27" s="100">
        <v>73.47</v>
      </c>
      <c r="D27" s="100">
        <v>0</v>
      </c>
      <c r="E27" s="100">
        <v>36.9</v>
      </c>
      <c r="F27" s="100">
        <v>49.4</v>
      </c>
      <c r="G27" s="100">
        <v>72.3</v>
      </c>
      <c r="H27" s="100">
        <v>65</v>
      </c>
      <c r="I27" s="100">
        <v>36</v>
      </c>
      <c r="J27" s="100">
        <v>33</v>
      </c>
      <c r="K27" s="93">
        <v>25.4</v>
      </c>
      <c r="L27" s="100">
        <v>21.69</v>
      </c>
      <c r="M27" s="100">
        <v>45.74</v>
      </c>
      <c r="N27" s="101">
        <v>11.75</v>
      </c>
      <c r="O27" s="101">
        <v>50.55</v>
      </c>
    </row>
    <row r="28" spans="1:16" x14ac:dyDescent="0.2">
      <c r="A28" s="98" t="s">
        <v>5</v>
      </c>
      <c r="B28" s="100">
        <v>57.24</v>
      </c>
      <c r="C28" s="100">
        <v>92.7</v>
      </c>
      <c r="D28" s="100">
        <v>12.5</v>
      </c>
      <c r="E28" s="100">
        <v>41.6</v>
      </c>
      <c r="F28" s="100">
        <v>54.98</v>
      </c>
      <c r="G28" s="100">
        <v>92</v>
      </c>
      <c r="H28" s="100">
        <v>58.7</v>
      </c>
      <c r="I28" s="100">
        <v>58.4</v>
      </c>
      <c r="J28" s="100">
        <v>47.3</v>
      </c>
      <c r="K28" s="93">
        <v>40.39</v>
      </c>
      <c r="L28" s="100">
        <v>54.81</v>
      </c>
      <c r="M28" s="100">
        <v>58.12</v>
      </c>
      <c r="N28" s="101">
        <v>57.22</v>
      </c>
      <c r="O28" s="101">
        <v>68.58</v>
      </c>
    </row>
    <row r="29" spans="1:16" x14ac:dyDescent="0.2">
      <c r="A29" s="98" t="s">
        <v>6</v>
      </c>
      <c r="B29" s="100">
        <v>57.65</v>
      </c>
      <c r="C29" s="100">
        <v>67.400000000000006</v>
      </c>
      <c r="D29" s="100">
        <v>81.599999999999994</v>
      </c>
      <c r="E29" s="100">
        <v>128.69999999999999</v>
      </c>
      <c r="F29" s="100">
        <v>79.2</v>
      </c>
      <c r="G29" s="100">
        <v>103.5</v>
      </c>
      <c r="H29" s="100">
        <v>81.7</v>
      </c>
      <c r="I29" s="100">
        <v>84.2</v>
      </c>
      <c r="J29" s="100">
        <v>57.2</v>
      </c>
      <c r="K29" s="93">
        <v>50.18</v>
      </c>
      <c r="L29" s="100">
        <v>67.010000000000005</v>
      </c>
      <c r="M29" s="100">
        <v>56.71</v>
      </c>
      <c r="N29" s="101">
        <v>82.5</v>
      </c>
      <c r="O29" s="101"/>
    </row>
    <row r="30" spans="1:16" x14ac:dyDescent="0.2">
      <c r="A30" s="98" t="s">
        <v>7</v>
      </c>
      <c r="B30" s="100">
        <v>55.41</v>
      </c>
      <c r="C30" s="100">
        <v>74.599999999999994</v>
      </c>
      <c r="D30" s="100">
        <v>100.7</v>
      </c>
      <c r="E30" s="100">
        <v>108.1</v>
      </c>
      <c r="F30" s="100">
        <v>102.8</v>
      </c>
      <c r="G30" s="100">
        <v>116.5</v>
      </c>
      <c r="H30" s="100">
        <v>63.4</v>
      </c>
      <c r="I30" s="100">
        <v>63</v>
      </c>
      <c r="J30" s="100">
        <v>74.7</v>
      </c>
      <c r="K30" s="93">
        <v>44.85</v>
      </c>
      <c r="L30" s="100">
        <v>37.22</v>
      </c>
      <c r="M30" s="100">
        <v>78.23</v>
      </c>
      <c r="N30" s="101">
        <v>74.41</v>
      </c>
      <c r="O30" s="101"/>
    </row>
    <row r="31" spans="1:16" x14ac:dyDescent="0.2">
      <c r="A31" s="98" t="s">
        <v>8</v>
      </c>
      <c r="B31" s="100">
        <v>39.03</v>
      </c>
      <c r="C31" s="100">
        <v>39.5</v>
      </c>
      <c r="D31" s="100">
        <v>73.900000000000006</v>
      </c>
      <c r="E31" s="100">
        <v>56.7</v>
      </c>
      <c r="F31" s="100">
        <v>78.400000000000006</v>
      </c>
      <c r="G31" s="100">
        <v>55.4</v>
      </c>
      <c r="H31" s="100">
        <v>43</v>
      </c>
      <c r="I31" s="100">
        <v>51</v>
      </c>
      <c r="J31" s="100">
        <v>61.8</v>
      </c>
      <c r="K31" s="93">
        <v>36.29</v>
      </c>
      <c r="L31" s="100">
        <v>68.650000000000006</v>
      </c>
      <c r="M31" s="100">
        <v>44.5</v>
      </c>
      <c r="N31" s="101">
        <v>73.08</v>
      </c>
      <c r="O31" s="101"/>
    </row>
    <row r="32" spans="1:16" x14ac:dyDescent="0.2">
      <c r="A32" s="98" t="s">
        <v>9</v>
      </c>
      <c r="B32" s="100">
        <v>44.51</v>
      </c>
      <c r="C32" s="100">
        <v>64.2</v>
      </c>
      <c r="D32" s="100">
        <v>60.6</v>
      </c>
      <c r="E32" s="100">
        <v>61.5</v>
      </c>
      <c r="F32" s="100">
        <v>33.200000000000003</v>
      </c>
      <c r="G32" s="100">
        <v>46.6</v>
      </c>
      <c r="H32" s="100">
        <v>50.1</v>
      </c>
      <c r="I32" s="100">
        <v>46.2</v>
      </c>
      <c r="J32" s="100">
        <v>21.9</v>
      </c>
      <c r="K32" s="93">
        <v>30.57</v>
      </c>
      <c r="L32" s="100">
        <v>36.32</v>
      </c>
      <c r="M32" s="101">
        <v>29.14</v>
      </c>
      <c r="N32" s="101">
        <v>68.19</v>
      </c>
      <c r="O32" s="101"/>
    </row>
    <row r="33" spans="1:15" x14ac:dyDescent="0.2">
      <c r="A33" s="98" t="s">
        <v>10</v>
      </c>
      <c r="B33" s="100">
        <v>0</v>
      </c>
      <c r="C33" s="100">
        <v>13.9</v>
      </c>
      <c r="D33" s="100">
        <v>37</v>
      </c>
      <c r="E33" s="100">
        <v>3.4</v>
      </c>
      <c r="F33" s="100">
        <v>9.6</v>
      </c>
      <c r="G33" s="100">
        <v>0</v>
      </c>
      <c r="H33" s="100">
        <v>6.8</v>
      </c>
      <c r="I33" s="100">
        <v>9.3000000000000007</v>
      </c>
      <c r="J33" s="100">
        <v>11.4</v>
      </c>
      <c r="K33" s="93">
        <v>10.57</v>
      </c>
      <c r="L33" s="100">
        <v>28.02</v>
      </c>
      <c r="M33" s="101">
        <v>24.33</v>
      </c>
      <c r="N33" s="101">
        <v>14.96</v>
      </c>
      <c r="O33" s="101"/>
    </row>
    <row r="34" spans="1:15" x14ac:dyDescent="0.2">
      <c r="A34" s="98" t="s">
        <v>11</v>
      </c>
      <c r="B34" s="100">
        <v>0</v>
      </c>
      <c r="C34" s="100">
        <v>0</v>
      </c>
      <c r="D34" s="100">
        <v>0</v>
      </c>
      <c r="E34" s="100">
        <v>0</v>
      </c>
      <c r="F34" s="100">
        <v>25.3</v>
      </c>
      <c r="G34" s="100">
        <v>0</v>
      </c>
      <c r="H34" s="100">
        <v>0</v>
      </c>
      <c r="I34" s="100">
        <v>4</v>
      </c>
      <c r="J34" s="100">
        <v>14.9</v>
      </c>
      <c r="K34" s="93">
        <v>3.43</v>
      </c>
      <c r="L34" s="100">
        <v>8.66</v>
      </c>
      <c r="M34" s="101">
        <v>20.34</v>
      </c>
      <c r="N34" s="101">
        <v>7.87</v>
      </c>
      <c r="O34" s="101"/>
    </row>
    <row r="35" spans="1:15" x14ac:dyDescent="0.2">
      <c r="A35" s="102" t="s">
        <v>12</v>
      </c>
      <c r="B35" s="102">
        <f t="shared" ref="B35:K35" si="2">SUM(B23:B34)</f>
        <v>269.76</v>
      </c>
      <c r="C35" s="102">
        <f t="shared" si="2"/>
        <v>456.84</v>
      </c>
      <c r="D35" s="102">
        <f t="shared" si="2"/>
        <v>366.30000000000007</v>
      </c>
      <c r="E35" s="102">
        <f t="shared" si="2"/>
        <v>439.7</v>
      </c>
      <c r="F35" s="102">
        <f t="shared" si="2"/>
        <v>513.42000000000007</v>
      </c>
      <c r="G35" s="102">
        <f t="shared" si="2"/>
        <v>509.7</v>
      </c>
      <c r="H35" s="102">
        <f t="shared" si="2"/>
        <v>368.70000000000005</v>
      </c>
      <c r="I35" s="102">
        <f t="shared" si="2"/>
        <v>361</v>
      </c>
      <c r="J35" s="102">
        <f t="shared" si="2"/>
        <v>381.59999999999991</v>
      </c>
      <c r="K35" s="102">
        <f t="shared" si="2"/>
        <v>264.68</v>
      </c>
      <c r="L35" s="102">
        <f>SUM(L23:L34)</f>
        <v>329.91</v>
      </c>
      <c r="M35" s="102">
        <f>SUM(M23:M34)</f>
        <v>402.17999999999995</v>
      </c>
      <c r="N35" s="102">
        <f>SUM(N23:N34)</f>
        <v>423.7</v>
      </c>
      <c r="O35" s="102">
        <f>SUM(O23:O34)</f>
        <v>218.20999999999998</v>
      </c>
    </row>
    <row r="36" spans="1:15" x14ac:dyDescent="0.2">
      <c r="A36" s="94" t="s">
        <v>356</v>
      </c>
      <c r="B36" s="94"/>
      <c r="C36" s="94">
        <f>AVERAGE(B35:N35)</f>
        <v>391.3453846153846</v>
      </c>
    </row>
    <row r="37" spans="1:15" ht="15" x14ac:dyDescent="0.25">
      <c r="A37" s="177" t="s">
        <v>326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5"/>
      <c r="L37" s="178"/>
      <c r="M37" s="178"/>
      <c r="N37" s="178"/>
      <c r="O37" s="178"/>
    </row>
    <row r="38" spans="1:15" x14ac:dyDescent="0.2">
      <c r="A38" s="92" t="s">
        <v>420</v>
      </c>
      <c r="B38" s="98" t="s">
        <v>433</v>
      </c>
      <c r="C38" s="98" t="s">
        <v>407</v>
      </c>
      <c r="D38" s="98" t="s">
        <v>408</v>
      </c>
      <c r="E38" s="98" t="s">
        <v>409</v>
      </c>
      <c r="F38" s="98" t="s">
        <v>410</v>
      </c>
      <c r="G38" s="98" t="s">
        <v>411</v>
      </c>
      <c r="H38" s="98" t="s">
        <v>412</v>
      </c>
      <c r="I38" s="98" t="s">
        <v>413</v>
      </c>
      <c r="J38" s="98" t="s">
        <v>414</v>
      </c>
      <c r="K38" s="98" t="s">
        <v>415</v>
      </c>
      <c r="L38" s="98" t="s">
        <v>416</v>
      </c>
      <c r="M38" s="98" t="s">
        <v>417</v>
      </c>
      <c r="N38" s="99" t="s">
        <v>418</v>
      </c>
      <c r="O38" s="99" t="s">
        <v>419</v>
      </c>
    </row>
    <row r="39" spans="1:15" x14ac:dyDescent="0.2">
      <c r="A39" s="98" t="s">
        <v>0</v>
      </c>
      <c r="B39" s="100">
        <v>0</v>
      </c>
      <c r="C39" s="100">
        <v>0</v>
      </c>
      <c r="D39" s="100">
        <v>0</v>
      </c>
      <c r="E39" s="100">
        <v>0</v>
      </c>
      <c r="F39" s="100">
        <v>10.08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</row>
    <row r="40" spans="1:15" x14ac:dyDescent="0.2">
      <c r="A40" s="98" t="s">
        <v>1</v>
      </c>
      <c r="B40" s="100">
        <v>0</v>
      </c>
      <c r="C40" s="100">
        <v>0</v>
      </c>
      <c r="D40" s="100">
        <v>0</v>
      </c>
      <c r="E40" s="100">
        <v>2.82</v>
      </c>
      <c r="F40" s="100">
        <v>4.74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</row>
    <row r="41" spans="1:15" x14ac:dyDescent="0.2">
      <c r="A41" s="98" t="s">
        <v>2</v>
      </c>
      <c r="B41" s="10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</row>
    <row r="42" spans="1:15" x14ac:dyDescent="0.2">
      <c r="A42" s="98" t="s">
        <v>3</v>
      </c>
      <c r="B42" s="100">
        <v>0</v>
      </c>
      <c r="C42" s="100">
        <v>0</v>
      </c>
      <c r="D42" s="100">
        <v>0</v>
      </c>
      <c r="E42" s="100">
        <v>0</v>
      </c>
      <c r="F42" s="100">
        <v>1.19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</row>
    <row r="43" spans="1:15" x14ac:dyDescent="0.2">
      <c r="A43" s="98" t="s">
        <v>4</v>
      </c>
      <c r="B43" s="100">
        <v>5.95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</row>
    <row r="44" spans="1:15" x14ac:dyDescent="0.2">
      <c r="A44" s="98" t="s">
        <v>5</v>
      </c>
      <c r="B44" s="100">
        <v>5.1100000000000003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</row>
    <row r="45" spans="1:15" x14ac:dyDescent="0.2">
      <c r="A45" s="98" t="s">
        <v>6</v>
      </c>
      <c r="B45" s="100">
        <v>0</v>
      </c>
      <c r="C45" s="100">
        <v>0</v>
      </c>
      <c r="D45" s="100">
        <v>21.95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1"/>
    </row>
    <row r="46" spans="1:15" x14ac:dyDescent="0.2">
      <c r="A46" s="98" t="s">
        <v>7</v>
      </c>
      <c r="B46" s="100">
        <v>0</v>
      </c>
      <c r="C46" s="100">
        <v>0</v>
      </c>
      <c r="D46" s="100">
        <v>49.33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1"/>
    </row>
    <row r="47" spans="1:15" x14ac:dyDescent="0.2">
      <c r="A47" s="98" t="s">
        <v>8</v>
      </c>
      <c r="B47" s="100">
        <v>0</v>
      </c>
      <c r="C47" s="100">
        <v>0</v>
      </c>
      <c r="D47" s="100">
        <v>49.83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1"/>
    </row>
    <row r="48" spans="1:15" x14ac:dyDescent="0.2">
      <c r="A48" s="98" t="s">
        <v>9</v>
      </c>
      <c r="B48" s="100">
        <v>0</v>
      </c>
      <c r="C48" s="100">
        <v>0</v>
      </c>
      <c r="D48" s="100">
        <v>54.75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1"/>
    </row>
    <row r="49" spans="1:15" x14ac:dyDescent="0.2">
      <c r="A49" s="98" t="s">
        <v>10</v>
      </c>
      <c r="B49" s="100">
        <v>0</v>
      </c>
      <c r="C49" s="100">
        <v>0</v>
      </c>
      <c r="D49" s="100">
        <v>30.85</v>
      </c>
      <c r="E49" s="100">
        <v>3.44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1"/>
    </row>
    <row r="50" spans="1:15" x14ac:dyDescent="0.2">
      <c r="A50" s="98" t="s">
        <v>11</v>
      </c>
      <c r="B50" s="100">
        <v>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1"/>
    </row>
    <row r="51" spans="1:15" x14ac:dyDescent="0.2">
      <c r="A51" s="102" t="s">
        <v>12</v>
      </c>
      <c r="B51" s="102">
        <f t="shared" ref="B51:O51" si="3">SUM(B39:B50)</f>
        <v>11.06</v>
      </c>
      <c r="C51" s="102">
        <f t="shared" si="3"/>
        <v>0</v>
      </c>
      <c r="D51" s="102">
        <f t="shared" si="3"/>
        <v>206.71</v>
      </c>
      <c r="E51" s="102">
        <f t="shared" si="3"/>
        <v>6.26</v>
      </c>
      <c r="F51" s="102">
        <f t="shared" si="3"/>
        <v>16.010000000000002</v>
      </c>
      <c r="G51" s="102">
        <f t="shared" si="3"/>
        <v>0</v>
      </c>
      <c r="H51" s="102">
        <f t="shared" si="3"/>
        <v>0</v>
      </c>
      <c r="I51" s="102">
        <f t="shared" si="3"/>
        <v>0</v>
      </c>
      <c r="J51" s="102">
        <f t="shared" si="3"/>
        <v>0</v>
      </c>
      <c r="K51" s="102">
        <f t="shared" si="3"/>
        <v>0</v>
      </c>
      <c r="L51" s="102">
        <f t="shared" si="3"/>
        <v>0</v>
      </c>
      <c r="M51" s="102">
        <f t="shared" si="3"/>
        <v>0</v>
      </c>
      <c r="N51" s="102">
        <f t="shared" si="3"/>
        <v>0</v>
      </c>
      <c r="O51" s="102">
        <f t="shared" si="3"/>
        <v>0</v>
      </c>
    </row>
  </sheetData>
  <phoneticPr fontId="0" type="noConversion"/>
  <pageMargins left="0.75" right="0.75" top="1" bottom="1" header="0.5" footer="0.5"/>
  <pageSetup paperSize="5" scale="85" orientation="landscape" verticalDpi="360" r:id="rId1"/>
  <headerFooter alignWithMargins="0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selection activeCell="A2" sqref="A2:N11"/>
    </sheetView>
  </sheetViews>
  <sheetFormatPr defaultRowHeight="12.75" x14ac:dyDescent="0.2"/>
  <cols>
    <col min="1" max="1" width="13.5546875" style="88" customWidth="1"/>
    <col min="2" max="3" width="5.44140625" style="88" customWidth="1"/>
    <col min="4" max="4" width="5.6640625" style="88" customWidth="1"/>
    <col min="5" max="5" width="6.77734375" style="88" customWidth="1"/>
    <col min="6" max="6" width="6.33203125" style="88" customWidth="1"/>
    <col min="7" max="7" width="5.77734375" style="88" customWidth="1"/>
    <col min="8" max="8" width="5.88671875" style="88" customWidth="1"/>
    <col min="9" max="9" width="6.33203125" style="88" customWidth="1"/>
    <col min="10" max="10" width="5.88671875" style="88" customWidth="1"/>
    <col min="11" max="11" width="6.21875" style="88" customWidth="1"/>
    <col min="12" max="13" width="6.109375" style="88" customWidth="1"/>
    <col min="14" max="14" width="11.6640625" style="88" customWidth="1"/>
    <col min="15" max="16384" width="8.88671875" style="88"/>
  </cols>
  <sheetData>
    <row r="1" spans="1:15" x14ac:dyDescent="0.2">
      <c r="A1" s="179" t="s">
        <v>404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x14ac:dyDescent="0.2">
      <c r="A2" s="88" t="s">
        <v>345</v>
      </c>
      <c r="B2" s="88" t="s">
        <v>407</v>
      </c>
      <c r="C2" s="88" t="s">
        <v>408</v>
      </c>
      <c r="D2" s="88" t="s">
        <v>409</v>
      </c>
      <c r="E2" s="88" t="s">
        <v>410</v>
      </c>
      <c r="F2" s="88" t="s">
        <v>411</v>
      </c>
      <c r="G2" s="88" t="s">
        <v>412</v>
      </c>
      <c r="H2" s="88" t="s">
        <v>413</v>
      </c>
      <c r="I2" s="88" t="s">
        <v>414</v>
      </c>
      <c r="J2" s="88" t="s">
        <v>415</v>
      </c>
      <c r="K2" s="88" t="s">
        <v>416</v>
      </c>
      <c r="L2" s="88" t="s">
        <v>417</v>
      </c>
      <c r="M2" s="88" t="s">
        <v>418</v>
      </c>
      <c r="N2" s="131" t="s">
        <v>380</v>
      </c>
    </row>
    <row r="3" spans="1:15" x14ac:dyDescent="0.2">
      <c r="A3" s="88" t="s">
        <v>389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5" x14ac:dyDescent="0.2">
      <c r="A4" s="88" t="s">
        <v>386</v>
      </c>
      <c r="B4" s="133"/>
      <c r="C4" s="133"/>
      <c r="D4" s="133">
        <v>110771</v>
      </c>
      <c r="E4" s="133">
        <v>114363</v>
      </c>
      <c r="F4" s="133">
        <v>120545</v>
      </c>
      <c r="G4" s="133">
        <v>77146</v>
      </c>
      <c r="H4" s="133">
        <v>63111.125714285707</v>
      </c>
      <c r="I4" s="133">
        <v>74079.5</v>
      </c>
      <c r="J4" s="133">
        <f>'Ag-Pumps(PGnE)'!S67</f>
        <v>111490</v>
      </c>
      <c r="K4" s="133">
        <f>'Ag-Pumps(PGnE)'!S54</f>
        <v>60691</v>
      </c>
      <c r="L4" s="133">
        <f>'Ag-Pumps(PGnE)'!S41</f>
        <v>94699</v>
      </c>
      <c r="M4" s="133">
        <f>'Ag-Pumps(PGnE)'!S28</f>
        <v>87767</v>
      </c>
      <c r="N4" s="133">
        <f>'Ag-Pumps(PGnE)'!S15</f>
        <v>24873</v>
      </c>
    </row>
    <row r="5" spans="1:15" x14ac:dyDescent="0.2">
      <c r="A5" s="90" t="s">
        <v>387</v>
      </c>
      <c r="B5" s="134"/>
      <c r="C5" s="134"/>
      <c r="D5" s="134">
        <v>13850.75</v>
      </c>
      <c r="E5" s="134">
        <v>12557.67</v>
      </c>
      <c r="F5" s="134">
        <v>14152.52</v>
      </c>
      <c r="G5" s="134">
        <v>8855.2099999999991</v>
      </c>
      <c r="H5" s="134">
        <v>2943.64</v>
      </c>
      <c r="I5" s="134">
        <v>10171.68</v>
      </c>
      <c r="J5" s="134">
        <f>'Ag-Pumps(PGnE)'!T67</f>
        <v>7626.8899999999994</v>
      </c>
      <c r="K5" s="134">
        <f>'Ag-Pumps(PGnE)'!T54</f>
        <v>7133.79</v>
      </c>
      <c r="L5" s="134">
        <f>'Ag-Pumps(PGnE)'!T41</f>
        <v>8099.1799999999994</v>
      </c>
      <c r="M5" s="134">
        <f>'Ag-Pumps(PGnE)'!T28</f>
        <v>14352.990000000002</v>
      </c>
      <c r="N5" s="136">
        <f>'Ag-Pumps(PGnE)'!T15</f>
        <v>4686.6299999999992</v>
      </c>
    </row>
    <row r="6" spans="1:15" x14ac:dyDescent="0.2">
      <c r="A6" s="90" t="s">
        <v>390</v>
      </c>
      <c r="B6" s="137"/>
      <c r="C6" s="137"/>
      <c r="D6" s="137">
        <f t="shared" ref="D6:M6" si="0">D4/350</f>
        <v>316.48857142857145</v>
      </c>
      <c r="E6" s="137">
        <f t="shared" si="0"/>
        <v>326.75142857142856</v>
      </c>
      <c r="F6" s="137">
        <f t="shared" si="0"/>
        <v>344.41428571428571</v>
      </c>
      <c r="G6" s="137">
        <f t="shared" si="0"/>
        <v>220.41714285714286</v>
      </c>
      <c r="H6" s="137">
        <f t="shared" si="0"/>
        <v>180.31750204081629</v>
      </c>
      <c r="I6" s="137">
        <f t="shared" si="0"/>
        <v>211.65571428571428</v>
      </c>
      <c r="J6" s="137">
        <f t="shared" si="0"/>
        <v>318.54285714285714</v>
      </c>
      <c r="K6" s="137">
        <f t="shared" si="0"/>
        <v>173.40285714285713</v>
      </c>
      <c r="L6" s="137">
        <f t="shared" si="0"/>
        <v>270.56857142857143</v>
      </c>
      <c r="M6" s="137">
        <f t="shared" si="0"/>
        <v>250.76285714285714</v>
      </c>
      <c r="N6" s="137">
        <f>N4/350</f>
        <v>71.065714285714279</v>
      </c>
    </row>
    <row r="7" spans="1:15" x14ac:dyDescent="0.2">
      <c r="A7" s="135">
        <v>350</v>
      </c>
      <c r="N7" s="131"/>
    </row>
    <row r="8" spans="1:15" x14ac:dyDescent="0.2">
      <c r="A8" s="87" t="s">
        <v>381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132"/>
    </row>
    <row r="9" spans="1:15" x14ac:dyDescent="0.2">
      <c r="A9" s="88" t="s">
        <v>386</v>
      </c>
      <c r="B9" s="89"/>
      <c r="C9" s="89"/>
      <c r="D9" s="89">
        <v>0</v>
      </c>
      <c r="E9" s="89">
        <v>0</v>
      </c>
      <c r="F9" s="89">
        <v>3</v>
      </c>
      <c r="G9" s="89">
        <v>152</v>
      </c>
      <c r="H9" s="89">
        <v>54285.71428571429</v>
      </c>
      <c r="I9" s="89">
        <v>79520</v>
      </c>
      <c r="J9" s="89">
        <v>39060.5</v>
      </c>
      <c r="K9" s="89">
        <v>70602.5</v>
      </c>
      <c r="L9" s="89">
        <v>100199</v>
      </c>
      <c r="M9" s="89">
        <v>104750</v>
      </c>
      <c r="N9" s="133">
        <v>119414</v>
      </c>
    </row>
    <row r="10" spans="1:15" x14ac:dyDescent="0.2">
      <c r="A10" s="88" t="s">
        <v>387</v>
      </c>
      <c r="B10" s="91"/>
      <c r="C10" s="91"/>
      <c r="D10" s="91">
        <v>592.59</v>
      </c>
      <c r="E10" s="91">
        <v>481.16</v>
      </c>
      <c r="F10" s="91">
        <v>549.24</v>
      </c>
      <c r="G10" s="91">
        <v>626</v>
      </c>
      <c r="H10" s="91">
        <v>6251.12</v>
      </c>
      <c r="I10" s="91">
        <v>9929.19</v>
      </c>
      <c r="J10" s="91">
        <v>6309.6</v>
      </c>
      <c r="K10" s="91">
        <v>12962.67</v>
      </c>
      <c r="L10" s="91">
        <v>16153.46</v>
      </c>
      <c r="M10" s="91">
        <v>15853.84</v>
      </c>
      <c r="N10" s="134">
        <v>18355.310000000001</v>
      </c>
    </row>
    <row r="11" spans="1:15" x14ac:dyDescent="0.2">
      <c r="A11" s="90" t="s">
        <v>390</v>
      </c>
      <c r="B11" s="89">
        <f t="shared" ref="B11:M11" si="1">B9/250</f>
        <v>0</v>
      </c>
      <c r="C11" s="89">
        <f t="shared" si="1"/>
        <v>0</v>
      </c>
      <c r="D11" s="89">
        <f t="shared" si="1"/>
        <v>0</v>
      </c>
      <c r="E11" s="89">
        <f t="shared" si="1"/>
        <v>0</v>
      </c>
      <c r="F11" s="89">
        <f t="shared" si="1"/>
        <v>1.2E-2</v>
      </c>
      <c r="G11" s="89">
        <f t="shared" si="1"/>
        <v>0.60799999999999998</v>
      </c>
      <c r="H11" s="89">
        <f t="shared" si="1"/>
        <v>217.14285714285717</v>
      </c>
      <c r="I11" s="89">
        <f t="shared" si="1"/>
        <v>318.08</v>
      </c>
      <c r="J11" s="89">
        <f t="shared" si="1"/>
        <v>156.24199999999999</v>
      </c>
      <c r="K11" s="89">
        <f t="shared" si="1"/>
        <v>282.41000000000003</v>
      </c>
      <c r="L11" s="89">
        <f t="shared" si="1"/>
        <v>400.79599999999999</v>
      </c>
      <c r="M11" s="89">
        <f t="shared" si="1"/>
        <v>419</v>
      </c>
      <c r="N11" s="89">
        <f>N9/250</f>
        <v>477.65600000000001</v>
      </c>
    </row>
    <row r="13" spans="1:15" x14ac:dyDescent="0.2">
      <c r="O13" s="139"/>
    </row>
  </sheetData>
  <phoneticPr fontId="7" type="noConversion"/>
  <pageMargins left="0.75" right="0.75" top="1" bottom="1" header="0.5" footer="0.5"/>
  <pageSetup orientation="landscape" r:id="rId1"/>
  <headerFooter alignWithMargins="0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zoomScale="85" workbookViewId="0">
      <pane ySplit="5" topLeftCell="A33" activePane="bottomLeft" state="frozen"/>
      <selection pane="bottomLeft" activeCell="A68" sqref="A68:T68"/>
    </sheetView>
  </sheetViews>
  <sheetFormatPr defaultRowHeight="12.75" x14ac:dyDescent="0.2"/>
  <cols>
    <col min="1" max="1" width="10.21875" style="106" customWidth="1"/>
    <col min="2" max="2" width="8.77734375" style="106" customWidth="1"/>
    <col min="3" max="3" width="34.5546875" style="106" customWidth="1"/>
    <col min="4" max="4" width="10.21875" style="106" customWidth="1"/>
    <col min="5" max="6" width="8.77734375" style="106" customWidth="1"/>
    <col min="7" max="7" width="10.21875" style="106" customWidth="1"/>
    <col min="8" max="9" width="8.77734375" style="106" customWidth="1"/>
    <col min="10" max="10" width="10.21875" style="106" customWidth="1"/>
    <col min="11" max="12" width="8.77734375" style="106" customWidth="1"/>
    <col min="13" max="13" width="10.21875" style="106" customWidth="1"/>
    <col min="14" max="15" width="8.77734375" style="106" customWidth="1"/>
    <col min="16" max="16" width="10.21875" style="106" customWidth="1"/>
    <col min="17" max="18" width="9.5546875" style="106" customWidth="1"/>
    <col min="19" max="19" width="8.44140625" style="120" customWidth="1"/>
    <col min="20" max="20" width="8.5546875" style="120" customWidth="1"/>
    <col min="21" max="16384" width="8.88671875" style="106"/>
  </cols>
  <sheetData>
    <row r="1" spans="1:20" ht="14.25" customHeight="1" x14ac:dyDescent="0.2">
      <c r="A1" s="104" t="s">
        <v>367</v>
      </c>
      <c r="B1" s="105" t="s">
        <v>420</v>
      </c>
      <c r="C1" s="105" t="s">
        <v>382</v>
      </c>
      <c r="D1" s="104" t="s">
        <v>368</v>
      </c>
      <c r="E1" s="105" t="s">
        <v>421</v>
      </c>
      <c r="F1" s="105" t="s">
        <v>422</v>
      </c>
      <c r="G1" s="104" t="s">
        <v>369</v>
      </c>
      <c r="H1" s="105" t="s">
        <v>423</v>
      </c>
      <c r="I1" s="105" t="s">
        <v>424</v>
      </c>
      <c r="J1" s="104" t="s">
        <v>370</v>
      </c>
      <c r="K1" s="105" t="s">
        <v>425</v>
      </c>
      <c r="L1" s="105" t="s">
        <v>426</v>
      </c>
      <c r="M1" s="104" t="s">
        <v>371</v>
      </c>
      <c r="N1" s="105" t="s">
        <v>427</v>
      </c>
      <c r="O1" s="105" t="s">
        <v>428</v>
      </c>
      <c r="P1" s="104" t="s">
        <v>372</v>
      </c>
      <c r="Q1" s="105" t="s">
        <v>429</v>
      </c>
      <c r="R1" s="105" t="s">
        <v>430</v>
      </c>
      <c r="S1" s="120" t="s">
        <v>431</v>
      </c>
      <c r="T1" s="120" t="s">
        <v>432</v>
      </c>
    </row>
    <row r="2" spans="1:20" x14ac:dyDescent="0.2">
      <c r="A2" s="107">
        <v>38283</v>
      </c>
      <c r="B2" s="105"/>
      <c r="C2" s="105" t="s">
        <v>383</v>
      </c>
      <c r="D2" s="107">
        <v>38283</v>
      </c>
      <c r="E2" s="105"/>
      <c r="F2" s="105"/>
      <c r="G2" s="107">
        <v>38283</v>
      </c>
      <c r="H2" s="105"/>
      <c r="I2" s="105"/>
      <c r="J2" s="107">
        <v>38283</v>
      </c>
      <c r="K2" s="105"/>
      <c r="L2" s="105"/>
      <c r="M2" s="107">
        <v>38283</v>
      </c>
      <c r="N2" s="105"/>
      <c r="O2" s="105"/>
      <c r="P2" s="107">
        <v>38283</v>
      </c>
      <c r="Q2" s="105"/>
      <c r="R2" s="105"/>
    </row>
    <row r="3" spans="1:20" ht="12.75" customHeight="1" thickBot="1" x14ac:dyDescent="0.25">
      <c r="A3" s="107">
        <v>40109</v>
      </c>
      <c r="B3" s="105"/>
      <c r="C3" s="105" t="s">
        <v>384</v>
      </c>
      <c r="D3" s="107">
        <v>40109</v>
      </c>
      <c r="E3" s="105"/>
      <c r="F3" s="105"/>
      <c r="G3" s="107">
        <v>40109</v>
      </c>
      <c r="H3" s="105"/>
      <c r="I3" s="105"/>
      <c r="J3" s="107">
        <v>40109</v>
      </c>
      <c r="K3" s="105"/>
      <c r="L3" s="105"/>
      <c r="M3" s="107">
        <v>40109</v>
      </c>
      <c r="N3" s="105"/>
      <c r="O3" s="105"/>
      <c r="P3" s="107">
        <v>40109</v>
      </c>
      <c r="Q3" s="105"/>
      <c r="R3" s="105"/>
    </row>
    <row r="4" spans="1:20" s="110" customFormat="1" ht="13.5" thickBot="1" x14ac:dyDescent="0.25">
      <c r="A4" s="103" t="s">
        <v>361</v>
      </c>
      <c r="B4" s="109"/>
      <c r="C4" s="109"/>
      <c r="D4" s="108" t="s">
        <v>362</v>
      </c>
      <c r="E4" s="109"/>
      <c r="F4" s="109"/>
      <c r="G4" s="108" t="s">
        <v>363</v>
      </c>
      <c r="H4" s="109"/>
      <c r="I4" s="109"/>
      <c r="J4" s="108" t="s">
        <v>364</v>
      </c>
      <c r="K4" s="109"/>
      <c r="L4" s="109"/>
      <c r="M4" s="108" t="s">
        <v>365</v>
      </c>
      <c r="N4" s="109"/>
      <c r="O4" s="109"/>
      <c r="P4" s="108" t="s">
        <v>366</v>
      </c>
      <c r="Q4" s="109"/>
      <c r="R4" s="109"/>
      <c r="S4" s="127" t="s">
        <v>388</v>
      </c>
      <c r="T4" s="127" t="s">
        <v>388</v>
      </c>
    </row>
    <row r="5" spans="1:20" s="122" customFormat="1" ht="15" customHeight="1" x14ac:dyDescent="0.2">
      <c r="A5" s="125" t="s">
        <v>373</v>
      </c>
      <c r="B5" s="125" t="s">
        <v>374</v>
      </c>
      <c r="C5" s="125" t="s">
        <v>385</v>
      </c>
      <c r="D5" s="125" t="s">
        <v>373</v>
      </c>
      <c r="E5" s="125" t="s">
        <v>374</v>
      </c>
      <c r="F5" s="125" t="s">
        <v>385</v>
      </c>
      <c r="G5" s="125" t="s">
        <v>373</v>
      </c>
      <c r="H5" s="125" t="s">
        <v>374</v>
      </c>
      <c r="I5" s="125" t="s">
        <v>385</v>
      </c>
      <c r="J5" s="125" t="s">
        <v>373</v>
      </c>
      <c r="K5" s="125" t="s">
        <v>374</v>
      </c>
      <c r="L5" s="125" t="s">
        <v>385</v>
      </c>
      <c r="M5" s="125" t="s">
        <v>373</v>
      </c>
      <c r="N5" s="125" t="s">
        <v>374</v>
      </c>
      <c r="O5" s="125" t="s">
        <v>385</v>
      </c>
      <c r="P5" s="125" t="s">
        <v>373</v>
      </c>
      <c r="Q5" s="125" t="s">
        <v>374</v>
      </c>
      <c r="R5" s="125" t="s">
        <v>385</v>
      </c>
      <c r="S5" s="126" t="s">
        <v>374</v>
      </c>
      <c r="T5" s="129" t="s">
        <v>385</v>
      </c>
    </row>
    <row r="6" spans="1:20" s="111" customFormat="1" x14ac:dyDescent="0.2">
      <c r="A6" s="112"/>
      <c r="B6" s="113"/>
      <c r="D6" s="112"/>
      <c r="E6" s="113"/>
      <c r="F6" s="113"/>
      <c r="G6" s="112"/>
      <c r="H6" s="113"/>
      <c r="I6" s="113"/>
      <c r="J6" s="112">
        <v>40081</v>
      </c>
      <c r="K6" s="113">
        <v>6</v>
      </c>
      <c r="L6" s="118">
        <v>73.819999999999993</v>
      </c>
      <c r="M6" s="112">
        <v>40081</v>
      </c>
      <c r="N6" s="113">
        <v>0</v>
      </c>
      <c r="O6" s="118">
        <v>35.479999999999997</v>
      </c>
      <c r="P6" s="112"/>
      <c r="Q6" s="113"/>
      <c r="R6" s="113"/>
      <c r="S6" s="121"/>
      <c r="T6" s="121"/>
    </row>
    <row r="7" spans="1:20" s="111" customFormat="1" x14ac:dyDescent="0.2">
      <c r="A7" s="112">
        <v>40058</v>
      </c>
      <c r="B7" s="113">
        <v>360</v>
      </c>
      <c r="C7" s="118">
        <v>84.24</v>
      </c>
      <c r="D7" s="112">
        <v>40058</v>
      </c>
      <c r="E7" s="113">
        <v>317</v>
      </c>
      <c r="F7" s="118">
        <v>71.92</v>
      </c>
      <c r="G7" s="112">
        <v>40058</v>
      </c>
      <c r="H7" s="113">
        <v>1541</v>
      </c>
      <c r="I7" s="118">
        <v>325.56</v>
      </c>
      <c r="J7" s="112">
        <v>40051</v>
      </c>
      <c r="K7" s="113">
        <v>8</v>
      </c>
      <c r="L7" s="118">
        <v>27.4</v>
      </c>
      <c r="M7" s="112">
        <v>40051</v>
      </c>
      <c r="N7" s="113">
        <v>0</v>
      </c>
      <c r="O7" s="118">
        <v>34.299999999999997</v>
      </c>
      <c r="P7" s="112">
        <v>40058</v>
      </c>
      <c r="Q7" s="113">
        <v>14638</v>
      </c>
      <c r="R7" s="118">
        <v>2325.13</v>
      </c>
      <c r="S7" s="121"/>
      <c r="T7" s="121"/>
    </row>
    <row r="8" spans="1:20" s="111" customFormat="1" x14ac:dyDescent="0.2">
      <c r="A8" s="112">
        <v>40029</v>
      </c>
      <c r="B8" s="113">
        <v>394</v>
      </c>
      <c r="C8" s="118">
        <v>92.45</v>
      </c>
      <c r="D8" s="112">
        <v>40029</v>
      </c>
      <c r="E8" s="113">
        <v>258</v>
      </c>
      <c r="F8" s="118">
        <v>61.01</v>
      </c>
      <c r="G8" s="112">
        <v>40029</v>
      </c>
      <c r="H8" s="113">
        <v>1874</v>
      </c>
      <c r="I8" s="118">
        <v>374.42</v>
      </c>
      <c r="J8" s="112">
        <v>40022</v>
      </c>
      <c r="K8" s="113">
        <v>718</v>
      </c>
      <c r="L8" s="118">
        <v>271.06</v>
      </c>
      <c r="M8" s="112">
        <v>40022</v>
      </c>
      <c r="N8" s="113">
        <v>1</v>
      </c>
      <c r="O8" s="118">
        <v>37.92</v>
      </c>
      <c r="P8" s="112">
        <v>40029</v>
      </c>
      <c r="Q8" s="113">
        <v>0</v>
      </c>
      <c r="R8" s="118">
        <v>113.49</v>
      </c>
      <c r="S8" s="121"/>
      <c r="T8" s="121"/>
    </row>
    <row r="9" spans="1:20" s="111" customFormat="1" x14ac:dyDescent="0.2">
      <c r="A9" s="112">
        <v>39997</v>
      </c>
      <c r="B9" s="113">
        <v>427</v>
      </c>
      <c r="C9" s="118">
        <v>96.37</v>
      </c>
      <c r="D9" s="112">
        <v>39997</v>
      </c>
      <c r="E9" s="113">
        <v>236</v>
      </c>
      <c r="F9" s="118">
        <v>55.73</v>
      </c>
      <c r="G9" s="112">
        <v>39997</v>
      </c>
      <c r="H9" s="113">
        <v>1046</v>
      </c>
      <c r="I9" s="118">
        <v>250.43</v>
      </c>
      <c r="J9" s="112">
        <v>39990</v>
      </c>
      <c r="K9" s="113">
        <v>778</v>
      </c>
      <c r="L9" s="118">
        <v>279.83999999999997</v>
      </c>
      <c r="M9" s="112">
        <v>39990</v>
      </c>
      <c r="N9" s="113">
        <v>1</v>
      </c>
      <c r="O9" s="118">
        <v>34.369999999999997</v>
      </c>
      <c r="P9" s="112">
        <v>39997</v>
      </c>
      <c r="Q9" s="113">
        <v>0</v>
      </c>
      <c r="R9" s="118">
        <v>111.4</v>
      </c>
      <c r="S9" s="121"/>
      <c r="T9" s="121"/>
    </row>
    <row r="10" spans="1:20" s="111" customFormat="1" x14ac:dyDescent="0.2">
      <c r="A10" s="112">
        <v>39968</v>
      </c>
      <c r="B10" s="113">
        <v>442</v>
      </c>
      <c r="C10" s="118">
        <v>100.52</v>
      </c>
      <c r="D10" s="112">
        <v>39968</v>
      </c>
      <c r="E10" s="113">
        <v>270</v>
      </c>
      <c r="F10" s="118">
        <v>62.82</v>
      </c>
      <c r="G10" s="112">
        <v>39968</v>
      </c>
      <c r="H10" s="113">
        <v>0</v>
      </c>
      <c r="I10" s="118">
        <v>89.29</v>
      </c>
      <c r="J10" s="112">
        <v>39961</v>
      </c>
      <c r="K10" s="113">
        <v>213</v>
      </c>
      <c r="L10" s="118">
        <v>172.63</v>
      </c>
      <c r="M10" s="112">
        <v>39961</v>
      </c>
      <c r="N10" s="113">
        <v>2</v>
      </c>
      <c r="O10" s="118">
        <v>35.630000000000003</v>
      </c>
      <c r="P10" s="112">
        <v>39968</v>
      </c>
      <c r="Q10" s="113">
        <v>4915</v>
      </c>
      <c r="R10" s="118">
        <v>857.61</v>
      </c>
      <c r="S10" s="121"/>
      <c r="T10" s="121"/>
    </row>
    <row r="11" spans="1:20" s="111" customFormat="1" x14ac:dyDescent="0.2">
      <c r="A11" s="112">
        <v>39938</v>
      </c>
      <c r="B11" s="113">
        <v>165</v>
      </c>
      <c r="C11" s="118">
        <v>42.29</v>
      </c>
      <c r="D11" s="112">
        <v>39938</v>
      </c>
      <c r="E11" s="113">
        <v>94</v>
      </c>
      <c r="F11" s="118">
        <v>22.54</v>
      </c>
      <c r="G11" s="112">
        <v>39938</v>
      </c>
      <c r="H11" s="113">
        <v>681</v>
      </c>
      <c r="I11" s="118">
        <v>119.82</v>
      </c>
      <c r="J11" s="112">
        <v>39931</v>
      </c>
      <c r="K11" s="113">
        <v>6</v>
      </c>
      <c r="L11" s="118">
        <v>22.44</v>
      </c>
      <c r="M11" s="112">
        <v>39931</v>
      </c>
      <c r="N11" s="113">
        <v>0</v>
      </c>
      <c r="O11" s="118">
        <v>37.85</v>
      </c>
      <c r="P11" s="112">
        <v>39938</v>
      </c>
      <c r="Q11" s="113">
        <v>2973</v>
      </c>
      <c r="R11" s="118">
        <v>405.2</v>
      </c>
      <c r="S11" s="121"/>
      <c r="T11" s="121"/>
    </row>
    <row r="12" spans="1:20" s="111" customFormat="1" x14ac:dyDescent="0.2">
      <c r="A12" s="112">
        <v>39909</v>
      </c>
      <c r="B12" s="113">
        <v>120</v>
      </c>
      <c r="C12" s="118">
        <v>37.33</v>
      </c>
      <c r="D12" s="112">
        <v>39909</v>
      </c>
      <c r="E12" s="113">
        <v>40</v>
      </c>
      <c r="F12" s="118">
        <v>14.97</v>
      </c>
      <c r="G12" s="112">
        <v>39909</v>
      </c>
      <c r="H12" s="113">
        <v>4297</v>
      </c>
      <c r="I12" s="118">
        <v>523.09</v>
      </c>
      <c r="J12" s="112">
        <v>39899</v>
      </c>
      <c r="K12" s="113">
        <v>1</v>
      </c>
      <c r="L12" s="118">
        <v>18.43</v>
      </c>
      <c r="M12" s="112">
        <v>39899</v>
      </c>
      <c r="N12" s="113">
        <v>0</v>
      </c>
      <c r="O12" s="118">
        <v>34.29</v>
      </c>
      <c r="P12" s="112">
        <v>39909</v>
      </c>
      <c r="Q12" s="113">
        <v>0</v>
      </c>
      <c r="R12" s="118">
        <v>34.49</v>
      </c>
      <c r="S12" s="121"/>
      <c r="T12" s="121"/>
    </row>
    <row r="13" spans="1:20" s="111" customFormat="1" x14ac:dyDescent="0.2">
      <c r="A13" s="112">
        <v>39877</v>
      </c>
      <c r="B13" s="113">
        <v>219</v>
      </c>
      <c r="C13" s="118">
        <v>47.52</v>
      </c>
      <c r="D13" s="112">
        <v>39877</v>
      </c>
      <c r="E13" s="113">
        <v>99</v>
      </c>
      <c r="F13" s="118">
        <v>22.16</v>
      </c>
      <c r="G13" s="112">
        <v>39877</v>
      </c>
      <c r="H13" s="113">
        <v>0</v>
      </c>
      <c r="I13" s="118">
        <v>30.06</v>
      </c>
      <c r="J13" s="112">
        <v>39870</v>
      </c>
      <c r="K13" s="113">
        <v>3</v>
      </c>
      <c r="L13" s="118">
        <v>18.690000000000001</v>
      </c>
      <c r="M13" s="112">
        <v>39870</v>
      </c>
      <c r="N13" s="113">
        <v>0</v>
      </c>
      <c r="O13" s="118">
        <v>35.479999999999997</v>
      </c>
      <c r="P13" s="112">
        <v>39877</v>
      </c>
      <c r="Q13" s="113">
        <v>0</v>
      </c>
      <c r="R13" s="118">
        <v>33.11</v>
      </c>
      <c r="S13" s="121"/>
      <c r="T13" s="121"/>
    </row>
    <row r="14" spans="1:20" s="111" customFormat="1" x14ac:dyDescent="0.2">
      <c r="A14" s="112">
        <v>39847</v>
      </c>
      <c r="B14" s="113">
        <v>255</v>
      </c>
      <c r="C14" s="118">
        <v>52.38</v>
      </c>
      <c r="D14" s="112">
        <v>39847</v>
      </c>
      <c r="E14" s="113">
        <v>55</v>
      </c>
      <c r="F14" s="118">
        <v>16.809999999999999</v>
      </c>
      <c r="G14" s="112">
        <v>39847</v>
      </c>
      <c r="H14" s="113">
        <v>2257</v>
      </c>
      <c r="I14" s="118">
        <v>284.86</v>
      </c>
      <c r="J14" s="112">
        <v>39841</v>
      </c>
      <c r="K14" s="113">
        <v>5</v>
      </c>
      <c r="L14" s="118">
        <v>21.48</v>
      </c>
      <c r="M14" s="112">
        <v>39840</v>
      </c>
      <c r="N14" s="113">
        <v>0</v>
      </c>
      <c r="O14" s="118">
        <v>37.85</v>
      </c>
      <c r="P14" s="112">
        <v>39847</v>
      </c>
      <c r="Q14" s="113">
        <v>5273</v>
      </c>
      <c r="R14" s="118">
        <v>626.85</v>
      </c>
      <c r="S14" s="121"/>
      <c r="T14" s="121"/>
    </row>
    <row r="15" spans="1:20" s="111" customFormat="1" x14ac:dyDescent="0.2">
      <c r="A15" s="114" t="s">
        <v>375</v>
      </c>
      <c r="B15" s="115">
        <f>SUM(B9:B14)</f>
        <v>1628</v>
      </c>
      <c r="C15" s="119">
        <f>SUM(C9:C14)</f>
        <v>376.40999999999997</v>
      </c>
      <c r="D15" s="116"/>
      <c r="E15" s="115">
        <f>SUM(E9:E14)</f>
        <v>794</v>
      </c>
      <c r="F15" s="119">
        <f>SUM(F9:F14)</f>
        <v>195.03</v>
      </c>
      <c r="G15" s="116"/>
      <c r="H15" s="115">
        <f>SUM(H9:H14)</f>
        <v>8281</v>
      </c>
      <c r="I15" s="119">
        <f>SUM(I9:I14)</f>
        <v>1297.5500000000002</v>
      </c>
      <c r="J15" s="116"/>
      <c r="K15" s="115">
        <f>SUM(K9:K14)</f>
        <v>1006</v>
      </c>
      <c r="L15" s="119">
        <f>SUM(L9:L14)</f>
        <v>533.51</v>
      </c>
      <c r="M15" s="116"/>
      <c r="N15" s="115">
        <f>SUM(N9:N14)</f>
        <v>3</v>
      </c>
      <c r="O15" s="119">
        <f>SUM(O9:O14)</f>
        <v>215.46999999999997</v>
      </c>
      <c r="P15" s="116"/>
      <c r="Q15" s="115">
        <f>SUM(Q9:Q14)</f>
        <v>13161</v>
      </c>
      <c r="R15" s="119">
        <f>SUM(R9:R14)</f>
        <v>2068.66</v>
      </c>
      <c r="S15" s="128">
        <f>SUM(B15,E15,H15,K15,N15,Q15)</f>
        <v>24873</v>
      </c>
      <c r="T15" s="130">
        <f>SUM(C15,F15,I15,L15,O15,R15)</f>
        <v>4686.6299999999992</v>
      </c>
    </row>
    <row r="16" spans="1:20" s="116" customFormat="1" x14ac:dyDescent="0.2">
      <c r="A16" s="112">
        <v>39815</v>
      </c>
      <c r="B16" s="113">
        <v>983</v>
      </c>
      <c r="C16" s="118">
        <v>136.94999999999999</v>
      </c>
      <c r="D16" s="112">
        <v>39815</v>
      </c>
      <c r="E16" s="113">
        <v>48</v>
      </c>
      <c r="F16" s="118">
        <v>15.37</v>
      </c>
      <c r="G16" s="112">
        <v>39815</v>
      </c>
      <c r="H16" s="113">
        <v>1491</v>
      </c>
      <c r="I16" s="118">
        <v>201.9</v>
      </c>
      <c r="J16" s="112">
        <v>39808</v>
      </c>
      <c r="K16" s="113">
        <v>2</v>
      </c>
      <c r="L16" s="118">
        <v>41.02</v>
      </c>
      <c r="M16" s="112">
        <v>39808</v>
      </c>
      <c r="N16" s="113">
        <v>0</v>
      </c>
      <c r="O16" s="118">
        <v>37.85</v>
      </c>
      <c r="P16" s="112">
        <v>39815</v>
      </c>
      <c r="Q16" s="113">
        <v>3604</v>
      </c>
      <c r="R16" s="118">
        <v>449.7</v>
      </c>
      <c r="S16" s="121"/>
      <c r="T16" s="121"/>
    </row>
    <row r="17" spans="1:20" s="111" customFormat="1" x14ac:dyDescent="0.2">
      <c r="A17" s="112">
        <v>39785</v>
      </c>
      <c r="B17" s="113">
        <v>1101</v>
      </c>
      <c r="C17" s="118">
        <v>151.46</v>
      </c>
      <c r="D17" s="112">
        <v>39785</v>
      </c>
      <c r="E17" s="113">
        <v>929</v>
      </c>
      <c r="F17" s="118">
        <v>135.44999999999999</v>
      </c>
      <c r="G17" s="112">
        <v>39785</v>
      </c>
      <c r="H17" s="113">
        <v>0</v>
      </c>
      <c r="I17" s="118">
        <v>31.68</v>
      </c>
      <c r="J17" s="112">
        <v>39776</v>
      </c>
      <c r="K17" s="113">
        <v>244</v>
      </c>
      <c r="L17" s="118">
        <v>95.76</v>
      </c>
      <c r="M17" s="112">
        <v>39776</v>
      </c>
      <c r="N17" s="113">
        <v>4</v>
      </c>
      <c r="O17" s="118">
        <v>37.049999999999997</v>
      </c>
      <c r="P17" s="112">
        <v>39785</v>
      </c>
      <c r="Q17" s="113">
        <v>3220</v>
      </c>
      <c r="R17" s="118">
        <v>409.21</v>
      </c>
      <c r="S17" s="121"/>
      <c r="T17" s="121"/>
    </row>
    <row r="18" spans="1:20" s="111" customFormat="1" x14ac:dyDescent="0.2">
      <c r="A18" s="112">
        <v>39753</v>
      </c>
      <c r="B18" s="113">
        <v>958</v>
      </c>
      <c r="C18" s="118">
        <v>174.01</v>
      </c>
      <c r="D18" s="112">
        <v>39753</v>
      </c>
      <c r="E18" s="113">
        <v>871</v>
      </c>
      <c r="F18" s="118">
        <v>174.34</v>
      </c>
      <c r="G18" s="112">
        <v>39752</v>
      </c>
      <c r="H18" s="113">
        <v>751</v>
      </c>
      <c r="I18" s="118">
        <v>195.15</v>
      </c>
      <c r="J18" s="112">
        <v>39745</v>
      </c>
      <c r="K18" s="113">
        <v>6</v>
      </c>
      <c r="L18" s="118">
        <v>26.54</v>
      </c>
      <c r="M18" s="112">
        <v>39745</v>
      </c>
      <c r="N18" s="113">
        <v>0</v>
      </c>
      <c r="O18" s="118">
        <v>34.31</v>
      </c>
      <c r="P18" s="112">
        <v>39752</v>
      </c>
      <c r="Q18" s="113">
        <v>4332</v>
      </c>
      <c r="R18" s="118">
        <v>759.41</v>
      </c>
      <c r="S18" s="121"/>
      <c r="T18" s="121"/>
    </row>
    <row r="19" spans="1:20" s="111" customFormat="1" x14ac:dyDescent="0.2">
      <c r="A19" s="112">
        <v>39724</v>
      </c>
      <c r="B19" s="113">
        <v>560</v>
      </c>
      <c r="C19" s="118">
        <v>111.28</v>
      </c>
      <c r="D19" s="112">
        <v>39724</v>
      </c>
      <c r="E19" s="113">
        <v>283</v>
      </c>
      <c r="F19" s="118">
        <v>60.61</v>
      </c>
      <c r="G19" s="112">
        <v>39724</v>
      </c>
      <c r="H19" s="113">
        <v>2111</v>
      </c>
      <c r="I19" s="118">
        <v>391.22</v>
      </c>
      <c r="J19" s="112">
        <v>39716</v>
      </c>
      <c r="K19" s="113">
        <v>0</v>
      </c>
      <c r="L19" s="118">
        <v>18.920000000000002</v>
      </c>
      <c r="M19" s="112">
        <v>39716</v>
      </c>
      <c r="N19" s="113">
        <v>0</v>
      </c>
      <c r="O19" s="118">
        <v>35.479999999999997</v>
      </c>
      <c r="P19" s="112">
        <v>39724</v>
      </c>
      <c r="Q19" s="113">
        <v>4666</v>
      </c>
      <c r="R19" s="118">
        <v>784.81</v>
      </c>
      <c r="S19" s="121"/>
      <c r="T19" s="121"/>
    </row>
    <row r="20" spans="1:20" s="111" customFormat="1" x14ac:dyDescent="0.2">
      <c r="A20" s="112">
        <v>39694</v>
      </c>
      <c r="B20" s="113">
        <v>473</v>
      </c>
      <c r="C20" s="118">
        <v>97.38</v>
      </c>
      <c r="D20" s="112">
        <v>39694</v>
      </c>
      <c r="E20" s="113">
        <v>210</v>
      </c>
      <c r="F20" s="118">
        <v>46.74</v>
      </c>
      <c r="G20" s="112">
        <v>39694</v>
      </c>
      <c r="H20" s="113">
        <v>2391</v>
      </c>
      <c r="I20" s="118">
        <v>428.32</v>
      </c>
      <c r="J20" s="112">
        <v>39686</v>
      </c>
      <c r="K20" s="113">
        <v>0</v>
      </c>
      <c r="L20" s="118">
        <v>18.29</v>
      </c>
      <c r="M20" s="112">
        <v>39686</v>
      </c>
      <c r="N20" s="113">
        <v>0</v>
      </c>
      <c r="O20" s="118">
        <v>34.299999999999997</v>
      </c>
      <c r="P20" s="112">
        <v>39694</v>
      </c>
      <c r="Q20" s="113">
        <v>4645</v>
      </c>
      <c r="R20" s="118">
        <v>773.81</v>
      </c>
      <c r="S20" s="121"/>
      <c r="T20" s="121"/>
    </row>
    <row r="21" spans="1:20" s="111" customFormat="1" x14ac:dyDescent="0.2">
      <c r="A21" s="112">
        <v>39664</v>
      </c>
      <c r="B21" s="113">
        <v>470</v>
      </c>
      <c r="C21" s="118">
        <v>97.3</v>
      </c>
      <c r="D21" s="112">
        <v>39665</v>
      </c>
      <c r="E21" s="113">
        <v>238</v>
      </c>
      <c r="F21" s="118">
        <v>53.01</v>
      </c>
      <c r="G21" s="112">
        <v>39664</v>
      </c>
      <c r="H21" s="113">
        <v>2567</v>
      </c>
      <c r="I21" s="118">
        <v>451.61</v>
      </c>
      <c r="J21" s="112">
        <v>39657</v>
      </c>
      <c r="K21" s="113">
        <v>0</v>
      </c>
      <c r="L21" s="118">
        <v>20.190000000000001</v>
      </c>
      <c r="M21" s="112">
        <v>39657</v>
      </c>
      <c r="N21" s="113">
        <v>0</v>
      </c>
      <c r="O21" s="118">
        <v>37.85</v>
      </c>
      <c r="P21" s="112">
        <v>39664</v>
      </c>
      <c r="Q21" s="113">
        <v>4711</v>
      </c>
      <c r="R21" s="118">
        <v>780.3</v>
      </c>
      <c r="S21" s="121"/>
      <c r="T21" s="121"/>
    </row>
    <row r="22" spans="1:20" x14ac:dyDescent="0.2">
      <c r="A22" s="112">
        <v>39634</v>
      </c>
      <c r="B22" s="113">
        <v>515</v>
      </c>
      <c r="C22" s="118">
        <v>104.24</v>
      </c>
      <c r="D22" s="112">
        <v>39632</v>
      </c>
      <c r="E22" s="113">
        <v>317</v>
      </c>
      <c r="F22" s="118">
        <v>66.19</v>
      </c>
      <c r="G22" s="112">
        <v>39634</v>
      </c>
      <c r="H22" s="113">
        <v>2646</v>
      </c>
      <c r="I22" s="118">
        <v>464.43</v>
      </c>
      <c r="J22" s="112">
        <v>39625</v>
      </c>
      <c r="K22" s="113">
        <v>136</v>
      </c>
      <c r="L22" s="118">
        <v>153.22</v>
      </c>
      <c r="M22" s="112">
        <v>39625</v>
      </c>
      <c r="N22" s="113">
        <v>0</v>
      </c>
      <c r="O22" s="118">
        <v>33.119999999999997</v>
      </c>
      <c r="P22" s="112">
        <v>39634</v>
      </c>
      <c r="Q22" s="113">
        <v>5023</v>
      </c>
      <c r="R22" s="118">
        <v>827.01</v>
      </c>
      <c r="S22" s="121"/>
      <c r="T22" s="121"/>
    </row>
    <row r="23" spans="1:20" x14ac:dyDescent="0.2">
      <c r="A23" s="112">
        <v>39603</v>
      </c>
      <c r="B23" s="113">
        <v>512</v>
      </c>
      <c r="C23" s="118">
        <v>104.84</v>
      </c>
      <c r="D23" s="112">
        <v>39603</v>
      </c>
      <c r="E23" s="113">
        <v>187</v>
      </c>
      <c r="F23" s="118">
        <v>42.86</v>
      </c>
      <c r="G23" s="112">
        <v>39603</v>
      </c>
      <c r="H23" s="113">
        <v>2574</v>
      </c>
      <c r="I23" s="118">
        <v>454.97</v>
      </c>
      <c r="J23" s="112">
        <v>39597</v>
      </c>
      <c r="K23" s="113">
        <v>4</v>
      </c>
      <c r="L23" s="118">
        <v>20.2</v>
      </c>
      <c r="M23" s="112">
        <v>39597</v>
      </c>
      <c r="N23" s="113">
        <v>0</v>
      </c>
      <c r="O23" s="118">
        <v>36.659999999999997</v>
      </c>
      <c r="P23" s="112">
        <v>39603</v>
      </c>
      <c r="Q23" s="113">
        <v>4334</v>
      </c>
      <c r="R23" s="118">
        <v>725.43</v>
      </c>
      <c r="S23" s="121"/>
      <c r="T23" s="121"/>
    </row>
    <row r="24" spans="1:20" x14ac:dyDescent="0.2">
      <c r="A24" s="112">
        <v>39573</v>
      </c>
      <c r="B24" s="113">
        <v>694</v>
      </c>
      <c r="C24" s="118">
        <v>104.93</v>
      </c>
      <c r="D24" s="112">
        <v>39573</v>
      </c>
      <c r="E24" s="113">
        <v>71</v>
      </c>
      <c r="F24" s="118">
        <v>19</v>
      </c>
      <c r="G24" s="112">
        <v>39573</v>
      </c>
      <c r="H24" s="113">
        <v>2719</v>
      </c>
      <c r="I24" s="118">
        <v>353.29</v>
      </c>
      <c r="J24" s="112">
        <v>39566</v>
      </c>
      <c r="K24" s="113">
        <v>0</v>
      </c>
      <c r="L24" s="118">
        <v>20.190000000000001</v>
      </c>
      <c r="M24" s="112">
        <v>39566</v>
      </c>
      <c r="N24" s="113">
        <v>0</v>
      </c>
      <c r="O24" s="118">
        <v>37.85</v>
      </c>
      <c r="P24" s="112">
        <v>39573</v>
      </c>
      <c r="Q24" s="113">
        <v>5360</v>
      </c>
      <c r="R24" s="118">
        <v>663.72</v>
      </c>
      <c r="S24" s="121"/>
      <c r="T24" s="121"/>
    </row>
    <row r="25" spans="1:20" x14ac:dyDescent="0.2">
      <c r="A25" s="112">
        <v>39541</v>
      </c>
      <c r="B25" s="113">
        <v>725</v>
      </c>
      <c r="C25" s="118">
        <v>104.75</v>
      </c>
      <c r="D25" s="112">
        <v>39542</v>
      </c>
      <c r="E25" s="113">
        <v>70</v>
      </c>
      <c r="F25" s="118">
        <v>17.989999999999998</v>
      </c>
      <c r="G25" s="112">
        <v>39541</v>
      </c>
      <c r="H25" s="113">
        <v>2524</v>
      </c>
      <c r="I25" s="118">
        <v>313.60000000000002</v>
      </c>
      <c r="J25" s="112">
        <v>39534</v>
      </c>
      <c r="K25" s="113">
        <v>0</v>
      </c>
      <c r="L25" s="118">
        <v>18.29</v>
      </c>
      <c r="M25" s="112">
        <v>39534</v>
      </c>
      <c r="N25" s="113">
        <v>0</v>
      </c>
      <c r="O25" s="118">
        <v>34.29</v>
      </c>
      <c r="P25" s="112">
        <v>39541</v>
      </c>
      <c r="Q25" s="113">
        <v>5150</v>
      </c>
      <c r="R25" s="118">
        <v>612.66999999999996</v>
      </c>
      <c r="S25" s="121"/>
      <c r="T25" s="121"/>
    </row>
    <row r="26" spans="1:20" x14ac:dyDescent="0.2">
      <c r="A26" s="112">
        <v>39512</v>
      </c>
      <c r="B26" s="113">
        <v>769</v>
      </c>
      <c r="C26" s="118">
        <v>107.6</v>
      </c>
      <c r="D26" s="112">
        <v>39512</v>
      </c>
      <c r="E26" s="113">
        <v>84</v>
      </c>
      <c r="F26" s="118">
        <v>19.46</v>
      </c>
      <c r="G26" s="112">
        <v>39512</v>
      </c>
      <c r="H26" s="113">
        <v>1821</v>
      </c>
      <c r="I26" s="118">
        <v>231.95</v>
      </c>
      <c r="J26" s="112">
        <v>39505</v>
      </c>
      <c r="K26" s="113">
        <v>0</v>
      </c>
      <c r="L26" s="118">
        <v>18.920000000000002</v>
      </c>
      <c r="M26" s="112">
        <v>39505</v>
      </c>
      <c r="N26" s="113">
        <v>0</v>
      </c>
      <c r="O26" s="118">
        <v>35.479999999999997</v>
      </c>
      <c r="P26" s="112">
        <v>39512</v>
      </c>
      <c r="Q26" s="113">
        <v>3828</v>
      </c>
      <c r="R26" s="118">
        <v>458.04</v>
      </c>
      <c r="S26" s="121"/>
      <c r="T26" s="121"/>
    </row>
    <row r="27" spans="1:20" x14ac:dyDescent="0.2">
      <c r="A27" s="112">
        <v>39482</v>
      </c>
      <c r="B27" s="113">
        <v>544</v>
      </c>
      <c r="C27" s="118">
        <v>83.45</v>
      </c>
      <c r="D27" s="112">
        <v>39483</v>
      </c>
      <c r="E27" s="113">
        <v>62</v>
      </c>
      <c r="F27" s="118">
        <v>17.2</v>
      </c>
      <c r="G27" s="112">
        <v>39482</v>
      </c>
      <c r="H27" s="113">
        <v>3619</v>
      </c>
      <c r="I27" s="118">
        <v>431.45</v>
      </c>
      <c r="J27" s="112">
        <v>39475</v>
      </c>
      <c r="K27" s="113">
        <v>0</v>
      </c>
      <c r="L27" s="118">
        <v>18.71</v>
      </c>
      <c r="M27" s="112">
        <v>39475</v>
      </c>
      <c r="N27" s="113">
        <v>0</v>
      </c>
      <c r="O27" s="118">
        <v>34.56</v>
      </c>
      <c r="P27" s="112">
        <v>39482</v>
      </c>
      <c r="Q27" s="113">
        <v>1610</v>
      </c>
      <c r="R27" s="118">
        <v>213.85</v>
      </c>
      <c r="S27" s="121"/>
      <c r="T27" s="121"/>
    </row>
    <row r="28" spans="1:20" x14ac:dyDescent="0.2">
      <c r="A28" s="114" t="s">
        <v>376</v>
      </c>
      <c r="B28" s="115">
        <f>SUM(B16:B27)</f>
        <v>8304</v>
      </c>
      <c r="C28" s="119">
        <f t="shared" ref="C28:R28" si="0">SUM(C16:C27)</f>
        <v>1378.1899999999998</v>
      </c>
      <c r="D28" s="117"/>
      <c r="E28" s="115">
        <f t="shared" si="0"/>
        <v>3370</v>
      </c>
      <c r="F28" s="119">
        <f t="shared" si="0"/>
        <v>668.22000000000014</v>
      </c>
      <c r="G28" s="117"/>
      <c r="H28" s="115">
        <f t="shared" si="0"/>
        <v>25214</v>
      </c>
      <c r="I28" s="119">
        <f t="shared" si="0"/>
        <v>3949.5699999999993</v>
      </c>
      <c r="J28" s="117"/>
      <c r="K28" s="115">
        <f t="shared" si="0"/>
        <v>392</v>
      </c>
      <c r="L28" s="119">
        <f t="shared" si="0"/>
        <v>470.25</v>
      </c>
      <c r="M28" s="117"/>
      <c r="N28" s="115">
        <f t="shared" si="0"/>
        <v>4</v>
      </c>
      <c r="O28" s="119">
        <f t="shared" si="0"/>
        <v>428.80000000000007</v>
      </c>
      <c r="P28" s="117"/>
      <c r="Q28" s="115">
        <f t="shared" si="0"/>
        <v>50483</v>
      </c>
      <c r="R28" s="119">
        <f t="shared" si="0"/>
        <v>7457.9600000000009</v>
      </c>
      <c r="S28" s="128">
        <f>SUM(B28,E28,H28,K28,N28,Q28)</f>
        <v>87767</v>
      </c>
      <c r="T28" s="130">
        <f>SUM(C28,F28,I28,L28,O28,R28)</f>
        <v>14352.990000000002</v>
      </c>
    </row>
    <row r="29" spans="1:20" x14ac:dyDescent="0.2">
      <c r="A29" s="112">
        <v>39452</v>
      </c>
      <c r="B29" s="113">
        <v>437</v>
      </c>
      <c r="C29" s="118">
        <v>43.73</v>
      </c>
      <c r="D29" s="112">
        <v>39452</v>
      </c>
      <c r="E29" s="113">
        <v>679</v>
      </c>
      <c r="F29" s="118">
        <v>98.24</v>
      </c>
      <c r="G29" s="112">
        <v>39452</v>
      </c>
      <c r="H29" s="113">
        <v>0</v>
      </c>
      <c r="I29" s="118">
        <v>56.37</v>
      </c>
      <c r="J29" s="112">
        <v>39445</v>
      </c>
      <c r="K29" s="113">
        <v>0</v>
      </c>
      <c r="L29" s="118">
        <v>15.77</v>
      </c>
      <c r="M29" s="112">
        <v>39445</v>
      </c>
      <c r="N29" s="113">
        <v>0</v>
      </c>
      <c r="O29" s="118">
        <v>21.68</v>
      </c>
      <c r="P29" s="112">
        <v>39452</v>
      </c>
      <c r="Q29" s="113">
        <v>4280</v>
      </c>
      <c r="R29" s="118">
        <v>255.92</v>
      </c>
      <c r="S29" s="121"/>
      <c r="T29" s="121"/>
    </row>
    <row r="30" spans="1:20" s="117" customFormat="1" x14ac:dyDescent="0.2">
      <c r="A30" s="112">
        <v>39421</v>
      </c>
      <c r="B30" s="113">
        <v>205</v>
      </c>
      <c r="C30" s="118">
        <v>32.93</v>
      </c>
      <c r="D30" s="112">
        <v>39421</v>
      </c>
      <c r="E30" s="113">
        <v>1157</v>
      </c>
      <c r="F30" s="118">
        <v>161.71</v>
      </c>
      <c r="G30" s="112">
        <v>39422</v>
      </c>
      <c r="H30" s="113">
        <v>2678</v>
      </c>
      <c r="I30" s="118">
        <v>173.48</v>
      </c>
      <c r="J30" s="112">
        <v>39415</v>
      </c>
      <c r="K30" s="113">
        <v>3</v>
      </c>
      <c r="L30" s="118">
        <v>20.81</v>
      </c>
      <c r="M30" s="112">
        <v>39415</v>
      </c>
      <c r="N30" s="113">
        <v>1</v>
      </c>
      <c r="O30" s="118">
        <v>22.42</v>
      </c>
      <c r="P30" s="112">
        <v>39422</v>
      </c>
      <c r="Q30" s="113">
        <v>4864</v>
      </c>
      <c r="R30" s="118">
        <v>278.61</v>
      </c>
      <c r="S30" s="121"/>
      <c r="T30" s="121"/>
    </row>
    <row r="31" spans="1:20" x14ac:dyDescent="0.2">
      <c r="A31" s="112">
        <v>39391</v>
      </c>
      <c r="B31" s="113">
        <v>249</v>
      </c>
      <c r="C31" s="118">
        <v>38.92</v>
      </c>
      <c r="D31" s="112">
        <v>39391</v>
      </c>
      <c r="E31" s="113">
        <v>1202</v>
      </c>
      <c r="F31" s="118">
        <v>218.79</v>
      </c>
      <c r="G31" s="112">
        <v>39391</v>
      </c>
      <c r="H31" s="113">
        <v>2616</v>
      </c>
      <c r="I31" s="118">
        <v>205.53</v>
      </c>
      <c r="J31" s="112">
        <v>39384</v>
      </c>
      <c r="K31" s="113">
        <v>2</v>
      </c>
      <c r="L31" s="118">
        <v>16.45</v>
      </c>
      <c r="M31" s="112">
        <v>39384</v>
      </c>
      <c r="N31" s="113">
        <v>1</v>
      </c>
      <c r="O31" s="118">
        <v>22.43</v>
      </c>
      <c r="P31" s="112">
        <v>39391</v>
      </c>
      <c r="Q31" s="113">
        <v>4736</v>
      </c>
      <c r="R31" s="118">
        <v>334.95</v>
      </c>
      <c r="S31" s="121"/>
      <c r="T31" s="121"/>
    </row>
    <row r="32" spans="1:20" x14ac:dyDescent="0.2">
      <c r="A32" s="112">
        <v>39361</v>
      </c>
      <c r="B32" s="113">
        <v>261</v>
      </c>
      <c r="C32" s="118">
        <v>39.270000000000003</v>
      </c>
      <c r="D32" s="112">
        <v>39360</v>
      </c>
      <c r="E32" s="113">
        <v>978</v>
      </c>
      <c r="F32" s="118">
        <v>186.7</v>
      </c>
      <c r="G32" s="112">
        <v>39361</v>
      </c>
      <c r="H32" s="113">
        <v>2475</v>
      </c>
      <c r="I32" s="118">
        <v>204.12</v>
      </c>
      <c r="J32" s="112">
        <v>39353</v>
      </c>
      <c r="K32" s="113">
        <v>0</v>
      </c>
      <c r="L32" s="118">
        <v>16.3</v>
      </c>
      <c r="M32" s="112">
        <v>39353</v>
      </c>
      <c r="N32" s="113">
        <v>0</v>
      </c>
      <c r="O32" s="118">
        <v>22.41</v>
      </c>
      <c r="P32" s="112">
        <v>39361</v>
      </c>
      <c r="Q32" s="113">
        <v>4598</v>
      </c>
      <c r="R32" s="118">
        <v>339.99</v>
      </c>
      <c r="S32" s="121"/>
      <c r="T32" s="121"/>
    </row>
    <row r="33" spans="1:20" x14ac:dyDescent="0.2">
      <c r="A33" s="112">
        <v>39332</v>
      </c>
      <c r="B33" s="113">
        <v>94</v>
      </c>
      <c r="C33" s="118">
        <v>30.89</v>
      </c>
      <c r="D33" s="112">
        <v>39332</v>
      </c>
      <c r="E33" s="113">
        <v>2062</v>
      </c>
      <c r="F33" s="118">
        <v>397.27</v>
      </c>
      <c r="G33" s="112">
        <v>39332</v>
      </c>
      <c r="H33" s="113">
        <v>2637</v>
      </c>
      <c r="I33" s="118">
        <v>213.86</v>
      </c>
      <c r="J33" s="112">
        <v>39322</v>
      </c>
      <c r="K33" s="113">
        <v>2</v>
      </c>
      <c r="L33" s="118">
        <v>20.85</v>
      </c>
      <c r="M33" s="112">
        <v>39322</v>
      </c>
      <c r="N33" s="113">
        <v>0</v>
      </c>
      <c r="O33" s="118">
        <v>20.239999999999998</v>
      </c>
      <c r="P33" s="112">
        <v>39332</v>
      </c>
      <c r="Q33" s="113">
        <v>4850</v>
      </c>
      <c r="R33" s="118">
        <v>353.57</v>
      </c>
      <c r="S33" s="121"/>
      <c r="T33" s="121"/>
    </row>
    <row r="34" spans="1:20" x14ac:dyDescent="0.2">
      <c r="A34" s="112">
        <v>39301</v>
      </c>
      <c r="B34" s="113">
        <v>87</v>
      </c>
      <c r="C34" s="118">
        <v>29.11</v>
      </c>
      <c r="G34" s="112">
        <v>39301</v>
      </c>
      <c r="H34" s="113">
        <v>2494</v>
      </c>
      <c r="I34" s="118">
        <v>205.74</v>
      </c>
      <c r="J34" s="112">
        <v>39294</v>
      </c>
      <c r="K34" s="113">
        <v>2</v>
      </c>
      <c r="L34" s="118">
        <v>21.37</v>
      </c>
      <c r="M34" s="112">
        <v>39294</v>
      </c>
      <c r="N34" s="113">
        <v>0</v>
      </c>
      <c r="O34" s="118">
        <v>20.96</v>
      </c>
      <c r="P34" s="112">
        <v>39301</v>
      </c>
      <c r="Q34" s="113">
        <v>4657</v>
      </c>
      <c r="R34" s="118">
        <v>343.47</v>
      </c>
      <c r="S34" s="121"/>
      <c r="T34" s="121"/>
    </row>
    <row r="35" spans="1:20" x14ac:dyDescent="0.2">
      <c r="A35" s="112">
        <v>39272</v>
      </c>
      <c r="B35" s="113">
        <v>78</v>
      </c>
      <c r="C35" s="118">
        <v>30.14</v>
      </c>
      <c r="G35" s="112">
        <v>39272</v>
      </c>
      <c r="H35" s="113">
        <v>2671</v>
      </c>
      <c r="I35" s="118">
        <v>214.2</v>
      </c>
      <c r="J35" s="112">
        <v>39265</v>
      </c>
      <c r="K35" s="113">
        <v>5</v>
      </c>
      <c r="L35" s="118">
        <v>112.88</v>
      </c>
      <c r="M35" s="112">
        <v>39265</v>
      </c>
      <c r="N35" s="113">
        <v>0</v>
      </c>
      <c r="O35" s="118">
        <v>23.12</v>
      </c>
      <c r="P35" s="112">
        <v>39272</v>
      </c>
      <c r="Q35" s="113">
        <v>4984</v>
      </c>
      <c r="R35" s="118">
        <v>358.21</v>
      </c>
      <c r="S35" s="121"/>
      <c r="T35" s="121"/>
    </row>
    <row r="36" spans="1:20" x14ac:dyDescent="0.2">
      <c r="A36" s="112">
        <v>39240</v>
      </c>
      <c r="B36" s="113">
        <v>178</v>
      </c>
      <c r="C36" s="118">
        <v>36.03</v>
      </c>
      <c r="G36" s="112">
        <v>39240</v>
      </c>
      <c r="H36" s="113">
        <v>2520</v>
      </c>
      <c r="I36" s="118">
        <v>206.67</v>
      </c>
      <c r="J36" s="112">
        <v>39233</v>
      </c>
      <c r="K36" s="113">
        <v>79</v>
      </c>
      <c r="L36" s="118">
        <v>117.41</v>
      </c>
      <c r="M36" s="112">
        <v>39233</v>
      </c>
      <c r="N36" s="113">
        <v>0</v>
      </c>
      <c r="O36" s="118">
        <v>21.68</v>
      </c>
      <c r="P36" s="112">
        <v>39240</v>
      </c>
      <c r="Q36" s="113">
        <v>4878</v>
      </c>
      <c r="R36" s="118">
        <v>354.4</v>
      </c>
      <c r="S36" s="121"/>
      <c r="T36" s="121"/>
    </row>
    <row r="37" spans="1:20" x14ac:dyDescent="0.2">
      <c r="A37" s="112">
        <v>39210</v>
      </c>
      <c r="B37" s="113">
        <v>177</v>
      </c>
      <c r="C37" s="118">
        <v>33.380000000000003</v>
      </c>
      <c r="G37" s="112">
        <v>39210</v>
      </c>
      <c r="H37" s="113">
        <v>2582</v>
      </c>
      <c r="I37" s="118">
        <v>179.72</v>
      </c>
      <c r="J37" s="112">
        <v>39203</v>
      </c>
      <c r="K37" s="113">
        <v>1</v>
      </c>
      <c r="L37" s="118">
        <v>16.899999999999999</v>
      </c>
      <c r="M37" s="112">
        <v>39203</v>
      </c>
      <c r="N37" s="113">
        <v>0</v>
      </c>
      <c r="O37" s="118">
        <v>23.14</v>
      </c>
      <c r="P37" s="112">
        <v>39210</v>
      </c>
      <c r="Q37" s="113">
        <v>5163</v>
      </c>
      <c r="R37" s="118">
        <v>310.64</v>
      </c>
      <c r="S37" s="121"/>
      <c r="T37" s="121"/>
    </row>
    <row r="38" spans="1:20" x14ac:dyDescent="0.2">
      <c r="A38" s="112">
        <v>39179</v>
      </c>
      <c r="B38" s="113">
        <v>156</v>
      </c>
      <c r="C38" s="118">
        <v>30.85</v>
      </c>
      <c r="G38" s="112">
        <v>39179</v>
      </c>
      <c r="H38" s="113">
        <v>2466</v>
      </c>
      <c r="I38" s="118">
        <v>165.13</v>
      </c>
      <c r="J38" s="112">
        <v>39171</v>
      </c>
      <c r="K38" s="113">
        <v>0</v>
      </c>
      <c r="L38" s="118">
        <v>15.24</v>
      </c>
      <c r="M38" s="112">
        <v>39171</v>
      </c>
      <c r="N38" s="113">
        <v>0</v>
      </c>
      <c r="O38" s="118">
        <v>20.96</v>
      </c>
      <c r="P38" s="112">
        <v>39179</v>
      </c>
      <c r="Q38" s="113">
        <v>5088</v>
      </c>
      <c r="R38" s="118">
        <v>289.58</v>
      </c>
      <c r="S38" s="121"/>
      <c r="T38" s="121"/>
    </row>
    <row r="39" spans="1:20" x14ac:dyDescent="0.2">
      <c r="A39" s="112">
        <v>39149</v>
      </c>
      <c r="B39" s="113">
        <v>114</v>
      </c>
      <c r="C39" s="118">
        <v>29.2</v>
      </c>
      <c r="G39" s="112">
        <v>39149</v>
      </c>
      <c r="H39" s="113">
        <v>2485</v>
      </c>
      <c r="I39" s="118">
        <v>166.44</v>
      </c>
      <c r="J39" s="112">
        <v>39142</v>
      </c>
      <c r="K39" s="113">
        <v>0</v>
      </c>
      <c r="L39" s="118">
        <v>15.25</v>
      </c>
      <c r="M39" s="112">
        <v>39142</v>
      </c>
      <c r="N39" s="113">
        <v>0</v>
      </c>
      <c r="O39" s="118">
        <v>20.97</v>
      </c>
      <c r="P39" s="112">
        <v>39149</v>
      </c>
      <c r="Q39" s="113">
        <v>5270</v>
      </c>
      <c r="R39" s="118">
        <v>297.13</v>
      </c>
      <c r="S39" s="121"/>
      <c r="T39" s="121"/>
    </row>
    <row r="40" spans="1:20" x14ac:dyDescent="0.2">
      <c r="A40" s="112">
        <v>39119</v>
      </c>
      <c r="B40" s="113">
        <v>255</v>
      </c>
      <c r="C40" s="118">
        <v>35.85</v>
      </c>
      <c r="G40" s="112">
        <v>39119</v>
      </c>
      <c r="H40" s="113">
        <v>2097</v>
      </c>
      <c r="I40" s="118">
        <v>151.22999999999999</v>
      </c>
      <c r="J40" s="112">
        <v>39113</v>
      </c>
      <c r="K40" s="113">
        <v>4</v>
      </c>
      <c r="L40" s="118">
        <v>21.98</v>
      </c>
      <c r="M40" s="112">
        <v>39113</v>
      </c>
      <c r="N40" s="113">
        <v>0</v>
      </c>
      <c r="O40" s="118">
        <v>23.85</v>
      </c>
      <c r="P40" s="112">
        <v>39119</v>
      </c>
      <c r="Q40" s="113">
        <v>5141</v>
      </c>
      <c r="R40" s="118">
        <v>292.14</v>
      </c>
      <c r="S40" s="121"/>
      <c r="T40" s="121"/>
    </row>
    <row r="41" spans="1:20" x14ac:dyDescent="0.2">
      <c r="A41" s="114" t="s">
        <v>377</v>
      </c>
      <c r="B41" s="115">
        <f>SUM(B29:B40)</f>
        <v>2291</v>
      </c>
      <c r="C41" s="119">
        <f>SUM(C29:C40)</f>
        <v>410.3</v>
      </c>
      <c r="D41" s="117"/>
      <c r="E41" s="115">
        <f>SUM(E29:E40)</f>
        <v>6078</v>
      </c>
      <c r="F41" s="119">
        <f>SUM(F29:F40)</f>
        <v>1062.71</v>
      </c>
      <c r="G41" s="117"/>
      <c r="H41" s="115">
        <f>SUM(H29:H40)</f>
        <v>27721</v>
      </c>
      <c r="I41" s="119">
        <f>SUM(I29:I40)</f>
        <v>2142.4900000000002</v>
      </c>
      <c r="J41" s="117"/>
      <c r="K41" s="115">
        <f>SUM(K29:K40)</f>
        <v>98</v>
      </c>
      <c r="L41" s="119">
        <f>SUM(L29:L40)</f>
        <v>411.21000000000004</v>
      </c>
      <c r="M41" s="117"/>
      <c r="N41" s="115">
        <f>SUM(N29:N40)</f>
        <v>2</v>
      </c>
      <c r="O41" s="119">
        <f>SUM(O29:O40)</f>
        <v>263.86</v>
      </c>
      <c r="P41" s="117"/>
      <c r="Q41" s="115">
        <f>SUM(Q29:Q40)</f>
        <v>58509</v>
      </c>
      <c r="R41" s="119">
        <f>SUM(R29:R40)</f>
        <v>3808.6099999999997</v>
      </c>
      <c r="S41" s="128">
        <f>SUM(B41,E41,H41,K41,N41,Q41)</f>
        <v>94699</v>
      </c>
      <c r="T41" s="130">
        <f>SUM(C41,F41,I41,L41,O41,R41)</f>
        <v>8099.1799999999994</v>
      </c>
    </row>
    <row r="42" spans="1:20" x14ac:dyDescent="0.2">
      <c r="A42" s="112">
        <v>39088</v>
      </c>
      <c r="B42" s="113">
        <v>128</v>
      </c>
      <c r="C42" s="118">
        <v>29.66</v>
      </c>
      <c r="G42" s="112">
        <v>39088</v>
      </c>
      <c r="H42" s="113">
        <v>0</v>
      </c>
      <c r="I42" s="118">
        <v>61.52</v>
      </c>
      <c r="J42" s="112">
        <v>39080</v>
      </c>
      <c r="K42" s="113">
        <v>0</v>
      </c>
      <c r="L42" s="118">
        <v>15.24</v>
      </c>
      <c r="M42" s="112">
        <v>39080</v>
      </c>
      <c r="N42" s="113">
        <v>0</v>
      </c>
      <c r="O42" s="118">
        <v>20.96</v>
      </c>
      <c r="P42" s="112">
        <v>39088</v>
      </c>
      <c r="Q42" s="113">
        <v>265</v>
      </c>
      <c r="R42" s="118">
        <v>87.07</v>
      </c>
      <c r="S42" s="121"/>
      <c r="T42" s="121"/>
    </row>
    <row r="43" spans="1:20" x14ac:dyDescent="0.2">
      <c r="A43" s="112">
        <v>39058</v>
      </c>
      <c r="B43" s="113">
        <v>183</v>
      </c>
      <c r="C43" s="118">
        <v>32.619999999999997</v>
      </c>
      <c r="G43" s="112">
        <v>39058</v>
      </c>
      <c r="H43" s="113">
        <v>712</v>
      </c>
      <c r="I43" s="118">
        <v>91.96</v>
      </c>
      <c r="J43" s="112">
        <v>39051</v>
      </c>
      <c r="K43" s="113">
        <v>7</v>
      </c>
      <c r="L43" s="118">
        <v>20.99</v>
      </c>
      <c r="M43" s="112">
        <v>39051</v>
      </c>
      <c r="N43" s="113">
        <v>1</v>
      </c>
      <c r="O43" s="118">
        <v>22.43</v>
      </c>
      <c r="P43" s="112">
        <v>39058</v>
      </c>
      <c r="Q43" s="113">
        <v>1406</v>
      </c>
      <c r="R43" s="118">
        <v>135.66</v>
      </c>
      <c r="S43" s="121"/>
      <c r="T43" s="121"/>
    </row>
    <row r="44" spans="1:20" s="117" customFormat="1" x14ac:dyDescent="0.2">
      <c r="A44" s="112">
        <v>39027</v>
      </c>
      <c r="B44" s="113">
        <v>231</v>
      </c>
      <c r="C44" s="118">
        <v>37.979999999999997</v>
      </c>
      <c r="D44" s="106"/>
      <c r="E44" s="106"/>
      <c r="F44" s="106"/>
      <c r="G44" s="112">
        <v>39027</v>
      </c>
      <c r="H44" s="113">
        <v>2479</v>
      </c>
      <c r="I44" s="118">
        <v>197.08</v>
      </c>
      <c r="J44" s="112">
        <v>39020</v>
      </c>
      <c r="K44" s="113">
        <v>0</v>
      </c>
      <c r="L44" s="118">
        <v>16.3</v>
      </c>
      <c r="M44" s="112">
        <v>39020</v>
      </c>
      <c r="N44" s="113">
        <v>0</v>
      </c>
      <c r="O44" s="118">
        <v>22.41</v>
      </c>
      <c r="P44" s="112">
        <v>39027</v>
      </c>
      <c r="Q44" s="113">
        <v>4880</v>
      </c>
      <c r="R44" s="118">
        <v>340.44</v>
      </c>
      <c r="S44" s="121"/>
      <c r="T44" s="121"/>
    </row>
    <row r="45" spans="1:20" x14ac:dyDescent="0.2">
      <c r="A45" s="112">
        <v>38996</v>
      </c>
      <c r="B45" s="113">
        <v>214</v>
      </c>
      <c r="C45" s="118">
        <v>35.61</v>
      </c>
      <c r="G45" s="112">
        <v>38996</v>
      </c>
      <c r="H45" s="113">
        <v>2345</v>
      </c>
      <c r="I45" s="118">
        <v>197.7</v>
      </c>
      <c r="J45" s="112">
        <v>38989</v>
      </c>
      <c r="K45" s="113">
        <v>0</v>
      </c>
      <c r="L45" s="118">
        <v>15.77</v>
      </c>
      <c r="M45" s="112">
        <v>38989</v>
      </c>
      <c r="N45" s="113">
        <v>0</v>
      </c>
      <c r="O45" s="118">
        <v>21.69</v>
      </c>
      <c r="P45" s="112">
        <v>38996</v>
      </c>
      <c r="Q45" s="113">
        <v>4734</v>
      </c>
      <c r="R45" s="118">
        <v>348.88</v>
      </c>
      <c r="S45" s="121"/>
      <c r="T45" s="121"/>
    </row>
    <row r="46" spans="1:20" x14ac:dyDescent="0.2">
      <c r="A46" s="112">
        <v>38967</v>
      </c>
      <c r="B46" s="113">
        <v>229</v>
      </c>
      <c r="C46" s="118">
        <v>40.29</v>
      </c>
      <c r="G46" s="112">
        <v>38967</v>
      </c>
      <c r="H46" s="113">
        <v>2387</v>
      </c>
      <c r="I46" s="118">
        <v>228.87</v>
      </c>
      <c r="J46" s="112">
        <v>38959</v>
      </c>
      <c r="K46" s="113">
        <v>0</v>
      </c>
      <c r="L46" s="118">
        <v>14.72</v>
      </c>
      <c r="M46" s="112">
        <v>38959</v>
      </c>
      <c r="N46" s="113">
        <v>0</v>
      </c>
      <c r="O46" s="118">
        <v>20.96</v>
      </c>
      <c r="P46" s="112">
        <v>38967</v>
      </c>
      <c r="Q46" s="113">
        <v>5058</v>
      </c>
      <c r="R46" s="118">
        <v>428.84</v>
      </c>
      <c r="S46" s="121"/>
      <c r="T46" s="121"/>
    </row>
    <row r="47" spans="1:20" x14ac:dyDescent="0.2">
      <c r="A47" s="112">
        <v>38937</v>
      </c>
      <c r="B47" s="113">
        <v>437</v>
      </c>
      <c r="C47" s="118">
        <v>55.96</v>
      </c>
      <c r="G47" s="112">
        <v>38937</v>
      </c>
      <c r="H47" s="113">
        <v>2271</v>
      </c>
      <c r="I47" s="118">
        <v>230.04</v>
      </c>
      <c r="J47" s="112">
        <v>38931</v>
      </c>
      <c r="K47" s="113">
        <v>1</v>
      </c>
      <c r="L47" s="118">
        <v>21.44</v>
      </c>
      <c r="M47" s="112">
        <v>38930</v>
      </c>
      <c r="N47" s="113">
        <v>0</v>
      </c>
      <c r="O47" s="118">
        <v>23.13</v>
      </c>
      <c r="P47" s="112">
        <v>38937</v>
      </c>
      <c r="Q47" s="113">
        <v>5022</v>
      </c>
      <c r="R47" s="118">
        <v>447.52</v>
      </c>
      <c r="S47" s="121"/>
      <c r="T47" s="121"/>
    </row>
    <row r="48" spans="1:20" x14ac:dyDescent="0.2">
      <c r="A48" s="112">
        <v>38908</v>
      </c>
      <c r="B48" s="113">
        <v>240</v>
      </c>
      <c r="C48" s="118">
        <v>44.54</v>
      </c>
      <c r="G48" s="112">
        <v>38908</v>
      </c>
      <c r="H48" s="113">
        <v>2433</v>
      </c>
      <c r="I48" s="118">
        <v>240.62</v>
      </c>
      <c r="J48" s="112">
        <v>38898</v>
      </c>
      <c r="K48" s="113">
        <v>2</v>
      </c>
      <c r="L48" s="118">
        <v>19.440000000000001</v>
      </c>
      <c r="M48" s="112">
        <v>38898</v>
      </c>
      <c r="N48" s="113">
        <v>0</v>
      </c>
      <c r="O48" s="118">
        <v>20.96</v>
      </c>
      <c r="P48" s="112">
        <v>38908</v>
      </c>
      <c r="Q48" s="113">
        <v>4959</v>
      </c>
      <c r="R48" s="118">
        <v>447.07</v>
      </c>
      <c r="S48" s="121"/>
      <c r="T48" s="121"/>
    </row>
    <row r="49" spans="1:20" x14ac:dyDescent="0.2">
      <c r="A49" s="112">
        <v>38876</v>
      </c>
      <c r="B49" s="113">
        <v>106</v>
      </c>
      <c r="C49" s="118">
        <v>32.93</v>
      </c>
      <c r="G49" s="112">
        <v>38877</v>
      </c>
      <c r="H49" s="113">
        <v>2098</v>
      </c>
      <c r="I49" s="118">
        <v>219.36</v>
      </c>
      <c r="J49" s="112">
        <v>38869</v>
      </c>
      <c r="K49" s="113">
        <v>11</v>
      </c>
      <c r="L49" s="118">
        <v>23.66</v>
      </c>
      <c r="M49" s="112">
        <v>38869</v>
      </c>
      <c r="N49" s="113">
        <v>0</v>
      </c>
      <c r="O49" s="118">
        <v>21.68</v>
      </c>
      <c r="P49" s="112">
        <v>38877</v>
      </c>
      <c r="Q49" s="113">
        <v>1213</v>
      </c>
      <c r="R49" s="118">
        <v>175.66</v>
      </c>
      <c r="S49" s="121"/>
      <c r="T49" s="121"/>
    </row>
    <row r="50" spans="1:20" x14ac:dyDescent="0.2">
      <c r="A50" s="112">
        <v>38846</v>
      </c>
      <c r="B50" s="113">
        <v>60</v>
      </c>
      <c r="C50" s="118">
        <v>29.35</v>
      </c>
      <c r="G50" s="112">
        <v>38847</v>
      </c>
      <c r="H50" s="113">
        <v>1193</v>
      </c>
      <c r="I50" s="118">
        <v>143.12</v>
      </c>
      <c r="J50" s="112">
        <v>38839</v>
      </c>
      <c r="K50" s="113">
        <v>4</v>
      </c>
      <c r="L50" s="118">
        <v>20.05</v>
      </c>
      <c r="M50" s="112">
        <v>38839</v>
      </c>
      <c r="N50" s="113">
        <v>0</v>
      </c>
      <c r="O50" s="118">
        <v>23.12</v>
      </c>
      <c r="P50" s="112">
        <v>38847</v>
      </c>
      <c r="Q50" s="113">
        <v>2823</v>
      </c>
      <c r="R50" s="118">
        <v>268.81</v>
      </c>
      <c r="S50" s="121"/>
      <c r="T50" s="121"/>
    </row>
    <row r="51" spans="1:20" x14ac:dyDescent="0.2">
      <c r="A51" s="112">
        <v>38814</v>
      </c>
      <c r="B51" s="113">
        <v>223</v>
      </c>
      <c r="C51" s="118">
        <v>47.72</v>
      </c>
      <c r="G51" s="112">
        <v>38815</v>
      </c>
      <c r="H51" s="113">
        <v>820</v>
      </c>
      <c r="I51" s="118">
        <v>148.12</v>
      </c>
      <c r="J51" s="112">
        <v>38807</v>
      </c>
      <c r="K51" s="113">
        <v>2</v>
      </c>
      <c r="L51" s="118">
        <v>19.03</v>
      </c>
      <c r="M51" s="112">
        <v>38807</v>
      </c>
      <c r="N51" s="113">
        <v>0</v>
      </c>
      <c r="O51" s="118">
        <v>20.239999999999998</v>
      </c>
      <c r="P51" s="112">
        <v>38815</v>
      </c>
      <c r="Q51" s="113">
        <v>3019</v>
      </c>
      <c r="R51" s="118">
        <v>405.69</v>
      </c>
      <c r="S51" s="121"/>
      <c r="T51" s="121"/>
    </row>
    <row r="52" spans="1:20" x14ac:dyDescent="0.2">
      <c r="A52" s="112">
        <v>38786</v>
      </c>
      <c r="B52" s="113">
        <v>225</v>
      </c>
      <c r="C52" s="118">
        <v>53.71</v>
      </c>
      <c r="G52" s="112">
        <v>38786</v>
      </c>
      <c r="H52" s="113">
        <v>1027</v>
      </c>
      <c r="I52" s="118">
        <v>190.81</v>
      </c>
      <c r="J52" s="112">
        <v>38779</v>
      </c>
      <c r="K52" s="113">
        <v>2</v>
      </c>
      <c r="L52" s="118">
        <v>20.6</v>
      </c>
      <c r="M52" s="112">
        <v>38779</v>
      </c>
      <c r="N52" s="113">
        <v>0</v>
      </c>
      <c r="O52" s="118">
        <v>22.41</v>
      </c>
      <c r="P52" s="112">
        <v>38786</v>
      </c>
      <c r="Q52" s="113">
        <v>1251</v>
      </c>
      <c r="R52" s="118">
        <v>233.49</v>
      </c>
      <c r="S52" s="121"/>
      <c r="T52" s="121"/>
    </row>
    <row r="53" spans="1:20" x14ac:dyDescent="0.2">
      <c r="A53" s="112">
        <v>38755</v>
      </c>
      <c r="B53" s="113">
        <v>0</v>
      </c>
      <c r="C53" s="118">
        <v>24.23</v>
      </c>
      <c r="G53" s="112">
        <v>38756</v>
      </c>
      <c r="H53" s="113">
        <v>4012</v>
      </c>
      <c r="I53" s="118">
        <v>580.91</v>
      </c>
      <c r="J53" s="112">
        <v>38748</v>
      </c>
      <c r="K53" s="113">
        <v>3</v>
      </c>
      <c r="L53" s="118">
        <v>20.78</v>
      </c>
      <c r="M53" s="112">
        <v>38748</v>
      </c>
      <c r="N53" s="113">
        <v>0</v>
      </c>
      <c r="O53" s="118">
        <v>23.14</v>
      </c>
      <c r="P53" s="112">
        <v>38756</v>
      </c>
      <c r="Q53" s="113">
        <v>1975</v>
      </c>
      <c r="R53" s="118">
        <v>328.8</v>
      </c>
      <c r="S53" s="121"/>
      <c r="T53" s="121"/>
    </row>
    <row r="54" spans="1:20" x14ac:dyDescent="0.2">
      <c r="A54" s="114" t="s">
        <v>378</v>
      </c>
      <c r="B54" s="115">
        <f>SUM(B42:B53)</f>
        <v>2276</v>
      </c>
      <c r="C54" s="119">
        <f>SUM(C42:C53)</f>
        <v>464.60000000000008</v>
      </c>
      <c r="D54" s="117"/>
      <c r="E54" s="115">
        <f>SUM(E42:E53)</f>
        <v>0</v>
      </c>
      <c r="F54" s="119">
        <f>SUM(F42:F53)</f>
        <v>0</v>
      </c>
      <c r="G54" s="117"/>
      <c r="H54" s="115">
        <f>SUM(H42:H53)</f>
        <v>21777</v>
      </c>
      <c r="I54" s="119">
        <f>SUM(I42:I53)</f>
        <v>2530.1099999999997</v>
      </c>
      <c r="J54" s="117"/>
      <c r="K54" s="115">
        <f>SUM(K42:K53)</f>
        <v>32</v>
      </c>
      <c r="L54" s="119">
        <f>SUM(L42:L53)</f>
        <v>228.02</v>
      </c>
      <c r="M54" s="117"/>
      <c r="N54" s="115">
        <f>SUM(N42:N53)</f>
        <v>1</v>
      </c>
      <c r="O54" s="119">
        <f>SUM(O42:O53)</f>
        <v>263.13</v>
      </c>
      <c r="P54" s="117"/>
      <c r="Q54" s="115">
        <f>SUM(Q42:Q53)</f>
        <v>36605</v>
      </c>
      <c r="R54" s="119">
        <f>SUM(R42:R53)</f>
        <v>3647.9300000000003</v>
      </c>
      <c r="S54" s="128">
        <f>SUM(B54,E54,H54,K54,N54,Q54)</f>
        <v>60691</v>
      </c>
      <c r="T54" s="130">
        <f>SUM(C54,F54,I54,L54,O54,R54)</f>
        <v>7133.79</v>
      </c>
    </row>
    <row r="55" spans="1:20" x14ac:dyDescent="0.2">
      <c r="A55" s="112">
        <v>38724</v>
      </c>
      <c r="B55" s="113">
        <v>128</v>
      </c>
      <c r="C55" s="118">
        <v>33</v>
      </c>
      <c r="G55" s="112">
        <v>38724</v>
      </c>
      <c r="H55" s="113">
        <v>0</v>
      </c>
      <c r="I55" s="118">
        <v>53.74</v>
      </c>
      <c r="J55" s="112">
        <v>38716</v>
      </c>
      <c r="K55" s="113">
        <v>12</v>
      </c>
      <c r="L55" s="118">
        <v>18.14</v>
      </c>
      <c r="M55" s="112">
        <v>38716</v>
      </c>
      <c r="N55" s="113">
        <v>0</v>
      </c>
      <c r="O55" s="113"/>
      <c r="P55" s="112">
        <v>38724</v>
      </c>
      <c r="Q55" s="113">
        <v>4139</v>
      </c>
      <c r="R55" s="118">
        <v>379.42</v>
      </c>
      <c r="S55" s="121"/>
      <c r="T55" s="121"/>
    </row>
    <row r="56" spans="1:20" x14ac:dyDescent="0.2">
      <c r="A56" s="112">
        <v>38694</v>
      </c>
      <c r="B56" s="113">
        <v>190</v>
      </c>
      <c r="C56" s="118">
        <v>34.950000000000003</v>
      </c>
      <c r="G56" s="112">
        <v>38695</v>
      </c>
      <c r="H56" s="113">
        <v>4208</v>
      </c>
      <c r="I56" s="118">
        <v>301.27</v>
      </c>
      <c r="J56" s="112">
        <v>38687</v>
      </c>
      <c r="K56" s="113">
        <v>0</v>
      </c>
      <c r="L56" s="118">
        <v>18.149999999999999</v>
      </c>
      <c r="M56" s="112">
        <v>38687</v>
      </c>
      <c r="N56" s="113">
        <v>0</v>
      </c>
      <c r="O56" s="113"/>
      <c r="P56" s="112">
        <v>38695</v>
      </c>
      <c r="Q56" s="113">
        <v>5603</v>
      </c>
      <c r="R56" s="118">
        <v>394.63</v>
      </c>
      <c r="S56" s="121"/>
      <c r="T56" s="121"/>
    </row>
    <row r="57" spans="1:20" x14ac:dyDescent="0.2">
      <c r="A57" s="112">
        <v>38663</v>
      </c>
      <c r="B57" s="113">
        <v>180</v>
      </c>
      <c r="C57" s="118">
        <v>35.76</v>
      </c>
      <c r="G57" s="112">
        <v>38663</v>
      </c>
      <c r="H57" s="113">
        <v>3855</v>
      </c>
      <c r="I57" s="118">
        <v>315</v>
      </c>
      <c r="J57" s="112">
        <v>38656</v>
      </c>
      <c r="K57" s="113">
        <v>4</v>
      </c>
      <c r="L57" s="118">
        <v>28.8</v>
      </c>
      <c r="M57" s="112">
        <v>38656</v>
      </c>
      <c r="N57" s="113">
        <v>0</v>
      </c>
      <c r="O57" s="113"/>
      <c r="P57" s="112">
        <v>38663</v>
      </c>
      <c r="Q57" s="113">
        <v>5392</v>
      </c>
      <c r="R57" s="118">
        <v>431.01</v>
      </c>
      <c r="S57" s="121"/>
      <c r="T57" s="121"/>
    </row>
    <row r="58" spans="1:20" s="117" customFormat="1" x14ac:dyDescent="0.2">
      <c r="A58" s="112">
        <v>38633</v>
      </c>
      <c r="B58" s="113">
        <v>157</v>
      </c>
      <c r="C58" s="118">
        <v>5.49</v>
      </c>
      <c r="D58" s="106"/>
      <c r="E58" s="106"/>
      <c r="F58" s="106"/>
      <c r="G58" s="112">
        <v>38633</v>
      </c>
      <c r="H58" s="113">
        <v>3697</v>
      </c>
      <c r="I58" s="118">
        <v>316.97000000000003</v>
      </c>
      <c r="J58" s="112">
        <v>38625</v>
      </c>
      <c r="K58" s="113">
        <v>0</v>
      </c>
      <c r="L58" s="118">
        <v>5.22</v>
      </c>
      <c r="M58" s="112">
        <v>38625</v>
      </c>
      <c r="N58" s="113">
        <v>0</v>
      </c>
      <c r="O58" s="113"/>
      <c r="P58" s="112">
        <v>38633</v>
      </c>
      <c r="Q58" s="113">
        <v>5599</v>
      </c>
      <c r="R58" s="118">
        <v>463.41</v>
      </c>
      <c r="S58" s="121"/>
      <c r="T58" s="121"/>
    </row>
    <row r="59" spans="1:20" x14ac:dyDescent="0.2">
      <c r="A59" s="112">
        <v>38602</v>
      </c>
      <c r="B59" s="113">
        <v>154</v>
      </c>
      <c r="C59" s="118">
        <v>34.61</v>
      </c>
      <c r="G59" s="112">
        <v>38602</v>
      </c>
      <c r="H59" s="113">
        <v>3487</v>
      </c>
      <c r="I59" s="118">
        <v>300.83999999999997</v>
      </c>
      <c r="J59" s="112">
        <v>38595</v>
      </c>
      <c r="K59" s="113">
        <v>0</v>
      </c>
      <c r="L59" s="118">
        <v>27.93</v>
      </c>
      <c r="M59" s="112">
        <v>38595</v>
      </c>
      <c r="N59" s="113">
        <v>675</v>
      </c>
      <c r="O59" s="113"/>
      <c r="P59" s="112">
        <v>38602</v>
      </c>
      <c r="Q59" s="113">
        <v>5040</v>
      </c>
      <c r="R59" s="118">
        <v>427.35</v>
      </c>
      <c r="S59" s="121"/>
      <c r="T59" s="121"/>
    </row>
    <row r="60" spans="1:20" x14ac:dyDescent="0.2">
      <c r="A60" s="112">
        <v>38572</v>
      </c>
      <c r="B60" s="113">
        <v>169</v>
      </c>
      <c r="C60" s="118">
        <v>36.06</v>
      </c>
      <c r="G60" s="112">
        <v>38572</v>
      </c>
      <c r="H60" s="113">
        <v>3499</v>
      </c>
      <c r="I60" s="118">
        <v>301.24</v>
      </c>
      <c r="J60" s="112">
        <v>38565</v>
      </c>
      <c r="K60" s="113">
        <v>2</v>
      </c>
      <c r="L60" s="118">
        <v>29.15</v>
      </c>
      <c r="M60" s="112">
        <v>38565</v>
      </c>
      <c r="N60" s="113">
        <v>10516</v>
      </c>
      <c r="O60" s="113"/>
      <c r="P60" s="112">
        <v>38572</v>
      </c>
      <c r="Q60" s="113">
        <v>5371</v>
      </c>
      <c r="R60" s="118">
        <v>444.74</v>
      </c>
      <c r="S60" s="121"/>
      <c r="T60" s="121"/>
    </row>
    <row r="61" spans="1:20" x14ac:dyDescent="0.2">
      <c r="A61" s="112">
        <v>38542</v>
      </c>
      <c r="B61" s="113">
        <v>190</v>
      </c>
      <c r="C61" s="118">
        <v>37.909999999999997</v>
      </c>
      <c r="G61" s="112">
        <v>38542</v>
      </c>
      <c r="H61" s="113">
        <v>3610</v>
      </c>
      <c r="I61" s="118">
        <v>309.06</v>
      </c>
      <c r="J61" s="112">
        <v>38533</v>
      </c>
      <c r="K61" s="113">
        <v>2</v>
      </c>
      <c r="L61" s="118">
        <v>27.57</v>
      </c>
      <c r="M61" s="112">
        <v>38533</v>
      </c>
      <c r="N61" s="113">
        <v>7225</v>
      </c>
      <c r="O61" s="113"/>
      <c r="P61" s="112">
        <v>38542</v>
      </c>
      <c r="Q61" s="113">
        <v>5004</v>
      </c>
      <c r="R61" s="118">
        <v>421.71</v>
      </c>
      <c r="S61" s="121"/>
      <c r="T61" s="121"/>
    </row>
    <row r="62" spans="1:20" x14ac:dyDescent="0.2">
      <c r="A62" s="112">
        <v>38511</v>
      </c>
      <c r="B62" s="113">
        <v>367</v>
      </c>
      <c r="C62" s="118">
        <v>49.99</v>
      </c>
      <c r="G62" s="112">
        <v>38511</v>
      </c>
      <c r="H62" s="113">
        <v>3566</v>
      </c>
      <c r="I62" s="118">
        <v>305.27</v>
      </c>
      <c r="J62" s="112">
        <v>38504</v>
      </c>
      <c r="K62" s="113">
        <v>11</v>
      </c>
      <c r="L62" s="118">
        <v>28.89</v>
      </c>
      <c r="M62" s="112">
        <v>38504</v>
      </c>
      <c r="N62" s="113">
        <v>6637</v>
      </c>
      <c r="O62" s="113"/>
      <c r="P62" s="112">
        <v>38511</v>
      </c>
      <c r="Q62" s="113">
        <v>3911</v>
      </c>
      <c r="R62" s="118">
        <v>344.87</v>
      </c>
      <c r="S62" s="121"/>
      <c r="T62" s="121"/>
    </row>
    <row r="63" spans="1:20" x14ac:dyDescent="0.2">
      <c r="A63" s="112">
        <v>38481</v>
      </c>
      <c r="B63" s="113">
        <v>691</v>
      </c>
      <c r="C63" s="118">
        <v>66.59</v>
      </c>
      <c r="G63" s="112">
        <v>38481</v>
      </c>
      <c r="H63" s="113">
        <v>3960</v>
      </c>
      <c r="I63" s="118">
        <v>297.72000000000003</v>
      </c>
      <c r="J63" s="112">
        <v>38474</v>
      </c>
      <c r="K63" s="113">
        <v>26</v>
      </c>
      <c r="L63" s="118">
        <v>23.87</v>
      </c>
      <c r="M63" s="112">
        <v>38474</v>
      </c>
      <c r="N63" s="113">
        <v>1944</v>
      </c>
      <c r="O63" s="113"/>
      <c r="P63" s="112">
        <v>38481</v>
      </c>
      <c r="Q63" s="113">
        <v>1720</v>
      </c>
      <c r="R63" s="118">
        <v>174.37</v>
      </c>
      <c r="S63" s="121"/>
      <c r="T63" s="121"/>
    </row>
    <row r="64" spans="1:20" x14ac:dyDescent="0.2">
      <c r="A64" s="112">
        <v>38449</v>
      </c>
      <c r="B64" s="113">
        <v>672</v>
      </c>
      <c r="C64" s="118">
        <v>61.82</v>
      </c>
      <c r="G64" s="112">
        <v>38449</v>
      </c>
      <c r="H64" s="113">
        <v>3660</v>
      </c>
      <c r="I64" s="118">
        <v>266.12</v>
      </c>
      <c r="J64" s="112">
        <v>38442</v>
      </c>
      <c r="K64" s="113">
        <v>0</v>
      </c>
      <c r="L64" s="118">
        <v>18.940000000000001</v>
      </c>
      <c r="M64" s="112">
        <v>38441</v>
      </c>
      <c r="N64" s="113">
        <v>0</v>
      </c>
      <c r="O64" s="113"/>
      <c r="P64" s="112">
        <v>38449</v>
      </c>
      <c r="Q64" s="113">
        <v>6</v>
      </c>
      <c r="R64" s="118">
        <v>64.47</v>
      </c>
      <c r="S64" s="121"/>
      <c r="T64" s="121"/>
    </row>
    <row r="65" spans="1:20" x14ac:dyDescent="0.2">
      <c r="A65" s="112">
        <v>38420</v>
      </c>
      <c r="B65" s="113">
        <v>711</v>
      </c>
      <c r="C65" s="118">
        <v>64.709999999999994</v>
      </c>
      <c r="G65" s="112">
        <v>38421</v>
      </c>
      <c r="H65" s="113">
        <v>4145</v>
      </c>
      <c r="I65" s="118">
        <v>296.08</v>
      </c>
      <c r="J65" s="112">
        <v>38413</v>
      </c>
      <c r="K65" s="113">
        <v>8</v>
      </c>
      <c r="L65" s="118">
        <v>20.14</v>
      </c>
      <c r="M65" s="112">
        <v>38413</v>
      </c>
      <c r="N65" s="113">
        <v>0</v>
      </c>
      <c r="O65" s="113"/>
      <c r="P65" s="112">
        <v>38421</v>
      </c>
      <c r="Q65" s="113">
        <v>3</v>
      </c>
      <c r="R65" s="118">
        <v>66.11</v>
      </c>
      <c r="S65" s="121"/>
      <c r="T65" s="121"/>
    </row>
    <row r="66" spans="1:20" x14ac:dyDescent="0.2">
      <c r="A66" s="112">
        <v>38390</v>
      </c>
      <c r="B66" s="113">
        <v>401</v>
      </c>
      <c r="C66" s="106">
        <v>47.22</v>
      </c>
      <c r="G66" s="112">
        <v>38390</v>
      </c>
      <c r="H66" s="113">
        <v>926</v>
      </c>
      <c r="I66" s="118">
        <v>109</v>
      </c>
      <c r="J66" s="112">
        <v>38383</v>
      </c>
      <c r="K66" s="113">
        <v>0</v>
      </c>
      <c r="L66" s="118">
        <v>20</v>
      </c>
      <c r="M66" s="112">
        <v>38383</v>
      </c>
      <c r="N66" s="113">
        <v>0</v>
      </c>
      <c r="O66" s="113"/>
      <c r="P66" s="112">
        <v>38390</v>
      </c>
      <c r="Q66" s="113">
        <v>17</v>
      </c>
      <c r="R66" s="118">
        <v>67.58</v>
      </c>
      <c r="S66" s="121"/>
      <c r="T66" s="121"/>
    </row>
    <row r="67" spans="1:20" x14ac:dyDescent="0.2">
      <c r="A67" s="114" t="s">
        <v>379</v>
      </c>
      <c r="B67" s="115">
        <f>SUM(B55:B66)</f>
        <v>4010</v>
      </c>
      <c r="C67" s="119">
        <f>SUM(C55:C66)</f>
        <v>508.11</v>
      </c>
      <c r="D67" s="117"/>
      <c r="E67" s="115">
        <f>SUM(E55:E66)</f>
        <v>0</v>
      </c>
      <c r="F67" s="119">
        <f>SUM(F55:F66)</f>
        <v>0</v>
      </c>
      <c r="G67" s="117"/>
      <c r="H67" s="115">
        <f>SUM(H55:H66)</f>
        <v>38613</v>
      </c>
      <c r="I67" s="119">
        <f>SUM(I55:I66)</f>
        <v>3172.3099999999995</v>
      </c>
      <c r="J67" s="117"/>
      <c r="K67" s="115">
        <f>SUM(K55:K66)</f>
        <v>65</v>
      </c>
      <c r="L67" s="119">
        <f>SUM(L55:L66)</f>
        <v>266.8</v>
      </c>
      <c r="M67" s="117"/>
      <c r="N67" s="115">
        <f>SUM(N55:N66)</f>
        <v>26997</v>
      </c>
      <c r="O67" s="119">
        <f>SUM(O55:O66)</f>
        <v>0</v>
      </c>
      <c r="P67" s="117"/>
      <c r="Q67" s="115">
        <f>SUM(Q55:Q66)</f>
        <v>41805</v>
      </c>
      <c r="R67" s="119">
        <f>SUM(R55:R66)</f>
        <v>3679.67</v>
      </c>
      <c r="S67" s="128">
        <f>SUM(B67,E67,H67,K67,N67,Q67)</f>
        <v>111490</v>
      </c>
      <c r="T67" s="130">
        <f>SUM(C67,F67,I67,L67,O67,R67)</f>
        <v>7626.8899999999994</v>
      </c>
    </row>
    <row r="68" spans="1:20" x14ac:dyDescent="0.2">
      <c r="A68" s="112">
        <v>38359</v>
      </c>
      <c r="B68" s="113">
        <v>215</v>
      </c>
      <c r="C68" s="106">
        <v>34.85</v>
      </c>
      <c r="G68" s="112">
        <v>38358</v>
      </c>
      <c r="H68" s="113">
        <v>0</v>
      </c>
      <c r="I68" s="118">
        <v>50.52</v>
      </c>
      <c r="J68" s="112">
        <v>38352</v>
      </c>
      <c r="K68" s="113">
        <v>2</v>
      </c>
      <c r="L68" s="118">
        <v>19.350000000000001</v>
      </c>
      <c r="M68" s="112">
        <v>38351</v>
      </c>
      <c r="N68" s="113">
        <v>0</v>
      </c>
      <c r="O68" s="113"/>
      <c r="P68" s="112">
        <v>38358</v>
      </c>
      <c r="Q68" s="113">
        <v>0</v>
      </c>
      <c r="R68" s="118">
        <v>61.39</v>
      </c>
    </row>
    <row r="69" spans="1:20" x14ac:dyDescent="0.2">
      <c r="A69" s="112">
        <v>38329</v>
      </c>
      <c r="B69" s="113">
        <v>171</v>
      </c>
      <c r="C69" s="106">
        <v>33.39</v>
      </c>
      <c r="G69" s="112">
        <v>38329</v>
      </c>
      <c r="H69" s="113">
        <v>0</v>
      </c>
      <c r="I69" s="118">
        <v>51.71</v>
      </c>
      <c r="J69" s="112">
        <v>38322</v>
      </c>
      <c r="K69" s="113">
        <v>4</v>
      </c>
      <c r="L69" s="118">
        <v>23.58</v>
      </c>
      <c r="M69" s="112">
        <v>38322</v>
      </c>
      <c r="N69" s="113">
        <v>0</v>
      </c>
      <c r="O69" s="113"/>
      <c r="P69" s="112">
        <v>38329</v>
      </c>
      <c r="Q69" s="113">
        <v>27</v>
      </c>
      <c r="R69" s="118">
        <v>63.88</v>
      </c>
    </row>
    <row r="70" spans="1:20" x14ac:dyDescent="0.2">
      <c r="A70" s="112">
        <v>38297</v>
      </c>
      <c r="B70" s="113">
        <v>1329</v>
      </c>
      <c r="C70" s="106">
        <v>108.5</v>
      </c>
      <c r="G70" s="112">
        <v>38297</v>
      </c>
      <c r="H70" s="113">
        <v>2851</v>
      </c>
      <c r="I70" s="118">
        <v>233.94</v>
      </c>
      <c r="J70" s="112">
        <v>38289</v>
      </c>
      <c r="K70" s="113">
        <v>1</v>
      </c>
      <c r="L70" s="118">
        <v>60.28</v>
      </c>
      <c r="M70" s="112">
        <v>38289</v>
      </c>
      <c r="N70" s="113">
        <v>4545</v>
      </c>
      <c r="O70" s="113"/>
      <c r="P70" s="112">
        <v>38297</v>
      </c>
      <c r="Q70" s="113">
        <v>1536</v>
      </c>
      <c r="R70" s="118">
        <v>163.74</v>
      </c>
    </row>
    <row r="72" spans="1:20" s="117" customFormat="1" x14ac:dyDescent="0.2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20"/>
      <c r="T72" s="120"/>
    </row>
  </sheetData>
  <phoneticPr fontId="1" type="noConversion"/>
  <dataValidations disablePrompts="1" count="3">
    <dataValidation type="list" allowBlank="1" showInputMessage="1" showErrorMessage="1" errorTitle="Column Name Error" error="Column name must match one of the column names on the SA History sheet" sqref="A5:B5">
      <formula1>$A$18:$S$18</formula1>
    </dataValidation>
    <dataValidation type="list" allowBlank="1" showInputMessage="1" showErrorMessage="1" errorTitle="Column Name Error" error="Column name must match one of the column names on the SA History sheet" sqref="G5:O5 T5 R5">
      <formula1>$A$16:$T$16</formula1>
    </dataValidation>
    <dataValidation type="list" allowBlank="1" showInputMessage="1" showErrorMessage="1" errorTitle="Column Name Error" error="Column name must match one of the column names on the SA History sheet" sqref="P5:Q5 S5">
      <formula1>$A$15:$T$15</formula1>
    </dataValidation>
  </dataValidations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3" sqref="A3:O6"/>
    </sheetView>
  </sheetViews>
  <sheetFormatPr defaultRowHeight="12.75" x14ac:dyDescent="0.2"/>
  <cols>
    <col min="1" max="1" width="17.44140625" style="88" bestFit="1" customWidth="1"/>
    <col min="2" max="2" width="5.109375" style="88" bestFit="1" customWidth="1"/>
    <col min="3" max="4" width="5" style="88" customWidth="1"/>
    <col min="5" max="5" width="6" style="88" bestFit="1" customWidth="1"/>
    <col min="6" max="13" width="5" style="88" customWidth="1"/>
    <col min="14" max="14" width="5.21875" style="88" customWidth="1"/>
    <col min="15" max="15" width="5" style="88" customWidth="1"/>
    <col min="16" max="16384" width="8.88671875" style="88"/>
  </cols>
  <sheetData>
    <row r="1" spans="1:15" s="161" customFormat="1" ht="21" customHeight="1" x14ac:dyDescent="0.25">
      <c r="A1" s="178" t="s">
        <v>340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s="161" customFormat="1" hidden="1" x14ac:dyDescent="0.2">
      <c r="A2" s="148"/>
      <c r="B2" s="148"/>
      <c r="C2" s="148"/>
      <c r="D2" s="148"/>
      <c r="E2" s="148" t="s">
        <v>341</v>
      </c>
      <c r="F2" s="148">
        <v>0.33710000000000001</v>
      </c>
      <c r="G2" s="148"/>
      <c r="H2" s="148"/>
      <c r="I2" s="148" t="s">
        <v>342</v>
      </c>
      <c r="J2" s="148">
        <v>674.2</v>
      </c>
      <c r="K2" s="148"/>
      <c r="L2" s="148"/>
      <c r="M2" s="148" t="s">
        <v>400</v>
      </c>
      <c r="N2" s="148">
        <v>1233.4892384681484</v>
      </c>
      <c r="O2" s="148"/>
    </row>
    <row r="3" spans="1:15" s="164" customFormat="1" x14ac:dyDescent="0.2">
      <c r="A3" s="162" t="s">
        <v>345</v>
      </c>
      <c r="B3" s="163" t="s">
        <v>433</v>
      </c>
      <c r="C3" s="163" t="s">
        <v>407</v>
      </c>
      <c r="D3" s="163" t="s">
        <v>408</v>
      </c>
      <c r="E3" s="163" t="s">
        <v>409</v>
      </c>
      <c r="F3" s="163" t="s">
        <v>410</v>
      </c>
      <c r="G3" s="163" t="s">
        <v>411</v>
      </c>
      <c r="H3" s="163" t="s">
        <v>412</v>
      </c>
      <c r="I3" s="163" t="s">
        <v>413</v>
      </c>
      <c r="J3" s="163" t="s">
        <v>414</v>
      </c>
      <c r="K3" s="163" t="s">
        <v>415</v>
      </c>
      <c r="L3" s="163" t="s">
        <v>416</v>
      </c>
      <c r="M3" s="163" t="s">
        <v>417</v>
      </c>
      <c r="N3" s="163" t="s">
        <v>418</v>
      </c>
      <c r="O3" s="163" t="s">
        <v>419</v>
      </c>
    </row>
    <row r="4" spans="1:15" x14ac:dyDescent="0.2">
      <c r="A4" s="138" t="s">
        <v>344</v>
      </c>
      <c r="B4" s="147">
        <v>33342</v>
      </c>
      <c r="C4" s="147">
        <v>41258</v>
      </c>
      <c r="D4" s="147">
        <v>37525.199999999997</v>
      </c>
      <c r="E4" s="147">
        <v>38761.199999999997</v>
      </c>
      <c r="F4" s="147">
        <v>37695.300000000003</v>
      </c>
      <c r="G4" s="147">
        <v>38038.5</v>
      </c>
      <c r="H4" s="147">
        <v>37355.1</v>
      </c>
      <c r="I4" s="147">
        <v>33235.800000000003</v>
      </c>
      <c r="J4" s="147">
        <v>29827.200000000001</v>
      </c>
      <c r="K4" s="147">
        <v>28743</v>
      </c>
      <c r="L4" s="147">
        <v>36510.400000000001</v>
      </c>
      <c r="M4" s="147">
        <v>38588.199999999997</v>
      </c>
      <c r="N4" s="147">
        <v>29380.5</v>
      </c>
      <c r="O4" s="147">
        <v>36566.199999999997</v>
      </c>
    </row>
    <row r="5" spans="1:15" x14ac:dyDescent="0.2">
      <c r="A5" s="138" t="s">
        <v>343</v>
      </c>
      <c r="B5" s="147">
        <f t="shared" ref="B5:O5" si="0">B6-$J$2</f>
        <v>10565.388199999999</v>
      </c>
      <c r="C5" s="147">
        <f t="shared" si="0"/>
        <v>13233.871799999999</v>
      </c>
      <c r="D5" s="147">
        <f t="shared" si="0"/>
        <v>11975.544919999998</v>
      </c>
      <c r="E5" s="147">
        <f t="shared" si="0"/>
        <v>12392.200519999999</v>
      </c>
      <c r="F5" s="147">
        <f t="shared" si="0"/>
        <v>12032.885630000001</v>
      </c>
      <c r="G5" s="147">
        <f t="shared" si="0"/>
        <v>12148.57835</v>
      </c>
      <c r="H5" s="147">
        <f t="shared" si="0"/>
        <v>11918.20421</v>
      </c>
      <c r="I5" s="147">
        <f t="shared" si="0"/>
        <v>10529.588180000001</v>
      </c>
      <c r="J5" s="147">
        <f t="shared" si="0"/>
        <v>9380.5491199999997</v>
      </c>
      <c r="K5" s="147">
        <f t="shared" si="0"/>
        <v>9015.0653000000002</v>
      </c>
      <c r="L5" s="147">
        <f t="shared" si="0"/>
        <v>11633.455840000001</v>
      </c>
      <c r="M5" s="147">
        <f t="shared" si="0"/>
        <v>12333.88222</v>
      </c>
      <c r="N5" s="147">
        <f t="shared" si="0"/>
        <v>9229.9665499999992</v>
      </c>
      <c r="O5" s="147">
        <f t="shared" si="0"/>
        <v>11652.266019999999</v>
      </c>
    </row>
    <row r="6" spans="1:15" x14ac:dyDescent="0.2">
      <c r="A6" s="138" t="s">
        <v>402</v>
      </c>
      <c r="B6" s="147">
        <f t="shared" ref="B6:O6" si="1">$F$2*B4</f>
        <v>11239.5882</v>
      </c>
      <c r="C6" s="147">
        <f t="shared" si="1"/>
        <v>13908.0718</v>
      </c>
      <c r="D6" s="147">
        <f t="shared" si="1"/>
        <v>12649.744919999999</v>
      </c>
      <c r="E6" s="147">
        <f t="shared" si="1"/>
        <v>13066.400519999999</v>
      </c>
      <c r="F6" s="147">
        <f t="shared" si="1"/>
        <v>12707.085630000001</v>
      </c>
      <c r="G6" s="147">
        <f t="shared" si="1"/>
        <v>12822.778350000001</v>
      </c>
      <c r="H6" s="147">
        <f t="shared" si="1"/>
        <v>12592.404210000001</v>
      </c>
      <c r="I6" s="147">
        <f t="shared" si="1"/>
        <v>11203.788180000001</v>
      </c>
      <c r="J6" s="147">
        <f t="shared" si="1"/>
        <v>10054.74912</v>
      </c>
      <c r="K6" s="147">
        <f t="shared" si="1"/>
        <v>9689.2653000000009</v>
      </c>
      <c r="L6" s="147">
        <f t="shared" si="1"/>
        <v>12307.655840000001</v>
      </c>
      <c r="M6" s="147">
        <f t="shared" si="1"/>
        <v>13008.08222</v>
      </c>
      <c r="N6" s="147">
        <f t="shared" si="1"/>
        <v>9904.1665499999999</v>
      </c>
      <c r="O6" s="147">
        <f t="shared" si="1"/>
        <v>12326.46602</v>
      </c>
    </row>
    <row r="26" spans="1:1" x14ac:dyDescent="0.2">
      <c r="A26" s="88" t="s">
        <v>405</v>
      </c>
    </row>
  </sheetData>
  <phoneticPr fontId="7" type="noConversion"/>
  <pageMargins left="0.75" right="0.75" top="1" bottom="1" header="0.5" footer="0.5"/>
  <headerFooter alignWithMargins="0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O12"/>
    </sheetView>
  </sheetViews>
  <sheetFormatPr defaultRowHeight="11.25" x14ac:dyDescent="0.2"/>
  <cols>
    <col min="1" max="1" width="19.44140625" style="140" bestFit="1" customWidth="1"/>
    <col min="2" max="2" width="8.109375" style="140" bestFit="1" customWidth="1"/>
    <col min="3" max="13" width="6.77734375" style="140" bestFit="1" customWidth="1"/>
    <col min="14" max="14" width="7.44140625" style="140" customWidth="1"/>
    <col min="15" max="15" width="6.77734375" style="140" bestFit="1" customWidth="1"/>
    <col min="16" max="16384" width="8.88671875" style="140"/>
  </cols>
  <sheetData>
    <row r="1" spans="1:15" ht="12.75" x14ac:dyDescent="0.2">
      <c r="A1" s="179" t="s">
        <v>406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s="142" customFormat="1" ht="12" thickBot="1" x14ac:dyDescent="0.25">
      <c r="A2" s="141" t="s">
        <v>345</v>
      </c>
      <c r="B2" s="141" t="s">
        <v>407</v>
      </c>
      <c r="C2" s="141" t="s">
        <v>408</v>
      </c>
      <c r="D2" s="141" t="s">
        <v>409</v>
      </c>
      <c r="E2" s="141" t="s">
        <v>410</v>
      </c>
      <c r="F2" s="141" t="s">
        <v>411</v>
      </c>
      <c r="G2" s="141" t="s">
        <v>412</v>
      </c>
      <c r="H2" s="141" t="s">
        <v>413</v>
      </c>
      <c r="I2" s="141" t="s">
        <v>414</v>
      </c>
      <c r="J2" s="141" t="s">
        <v>415</v>
      </c>
      <c r="K2" s="141" t="s">
        <v>416</v>
      </c>
      <c r="L2" s="141" t="s">
        <v>417</v>
      </c>
      <c r="M2" s="141" t="s">
        <v>418</v>
      </c>
      <c r="N2" s="141" t="s">
        <v>338</v>
      </c>
      <c r="O2" s="141" t="s">
        <v>419</v>
      </c>
    </row>
    <row r="3" spans="1:15" s="124" customFormat="1" x14ac:dyDescent="0.2">
      <c r="A3" s="143" t="s">
        <v>351</v>
      </c>
      <c r="B3" s="143">
        <f>'Usage-Cost'!B4*SI_Units!$B$12</f>
        <v>810997.31807953899</v>
      </c>
      <c r="C3" s="143">
        <f>'Usage-Cost'!C4*SI_Units!$B$12</f>
        <v>733225.09891461092</v>
      </c>
      <c r="D3" s="143">
        <f>'Usage-Cost'!D4*SI_Units!$B$12</f>
        <v>690007.92764590064</v>
      </c>
      <c r="E3" s="143">
        <f>'Usage-Cost'!E4*SI_Units!$B$12</f>
        <v>714020.61355591659</v>
      </c>
      <c r="F3" s="143">
        <f>'Usage-Cost'!F4*SI_Units!$B$12</f>
        <v>689549.19473111024</v>
      </c>
      <c r="G3" s="143">
        <f>'Usage-Cost'!G4*SI_Units!$B$12</f>
        <v>723866.38111595495</v>
      </c>
      <c r="H3" s="143">
        <f>'Usage-Cost'!H4*SI_Units!$B$12</f>
        <v>693975.11785343976</v>
      </c>
      <c r="I3" s="143">
        <f>'Usage-Cost'!I4*SI_Units!$B$12</f>
        <v>695631.65337907174</v>
      </c>
      <c r="J3" s="143">
        <f>'Usage-Cost'!J4*SI_Units!$B$12</f>
        <v>627133.20147302386</v>
      </c>
      <c r="K3" s="143">
        <f>'Usage-Cost'!K4*SI_Units!$B$12</f>
        <v>691688.53249113576</v>
      </c>
      <c r="L3" s="143">
        <f>'Usage-Cost'!L4*SI_Units!$B$12</f>
        <v>681266.51710295014</v>
      </c>
      <c r="M3" s="143">
        <f>'Usage-Cost'!M4*SI_Units!$B$12</f>
        <v>738254.1708693502</v>
      </c>
      <c r="N3" s="123">
        <f>AVERAGE(B3:M3)</f>
        <v>707467.97726766684</v>
      </c>
      <c r="O3" s="143">
        <f>'Usage-Cost'!N4*SI_Units!$B$12</f>
        <v>370729.8189517823</v>
      </c>
    </row>
    <row r="4" spans="1:15" x14ac:dyDescent="0.2">
      <c r="A4" s="143" t="s">
        <v>349</v>
      </c>
      <c r="B4" s="143">
        <f>'Usage-Cost'!B17*SI_Units!$B$12</f>
        <v>563507.22370178881</v>
      </c>
      <c r="C4" s="143">
        <f>'Usage-Cost'!C17*SI_Units!$B$12</f>
        <v>451827.10805088276</v>
      </c>
      <c r="D4" s="143">
        <f>'Usage-Cost'!D17*SI_Units!$B$12</f>
        <v>542365.21815444482</v>
      </c>
      <c r="E4" s="143">
        <f>'Usage-Cost'!E17*SI_Units!$B$12</f>
        <v>633298.04481431667</v>
      </c>
      <c r="F4" s="143">
        <f>'Usage-Cost'!F17*SI_Units!$B$12</f>
        <v>628709.46484721522</v>
      </c>
      <c r="G4" s="143">
        <f>'Usage-Cost'!G17*SI_Units!$B$12</f>
        <v>454787.48222320632</v>
      </c>
      <c r="H4" s="143">
        <f>'Usage-Cost'!H17*SI_Units!$B$12</f>
        <v>445289.61508700158</v>
      </c>
      <c r="I4" s="143">
        <f>'Usage-Cost'!I17*SI_Units!$B$12</f>
        <v>470699.49339944543</v>
      </c>
      <c r="J4" s="143">
        <f>'Usage-Cost'!J17*SI_Units!$B$12</f>
        <v>326479.93163774948</v>
      </c>
      <c r="K4" s="143">
        <f>'Usage-Cost'!K17*SI_Units!$B$12</f>
        <v>406940.43466302683</v>
      </c>
      <c r="L4" s="143">
        <f>'Usage-Cost'!L17*SI_Units!$B$12</f>
        <v>496084.70192711992</v>
      </c>
      <c r="M4" s="143">
        <f>'Usage-Cost'!M17*SI_Units!$B$12</f>
        <v>522629.3903389544</v>
      </c>
      <c r="N4" s="123">
        <f t="shared" ref="N4:N9" si="0">AVERAGE(B4:M4)</f>
        <v>495218.175737096</v>
      </c>
      <c r="O4" s="143">
        <f>'Usage-Cost'!N17*SI_Units!$B$12</f>
        <v>269159.68672613468</v>
      </c>
    </row>
    <row r="5" spans="1:15" s="123" customFormat="1" x14ac:dyDescent="0.2">
      <c r="A5" s="123" t="s">
        <v>354</v>
      </c>
      <c r="B5" s="143">
        <f t="shared" ref="B5:M5" si="1">SUM(B3:B4)</f>
        <v>1374504.5417813277</v>
      </c>
      <c r="C5" s="143">
        <f t="shared" si="1"/>
        <v>1185052.2069654937</v>
      </c>
      <c r="D5" s="143">
        <f t="shared" si="1"/>
        <v>1232373.1458003456</v>
      </c>
      <c r="E5" s="143">
        <f t="shared" si="1"/>
        <v>1347318.6583702331</v>
      </c>
      <c r="F5" s="143">
        <f t="shared" si="1"/>
        <v>1318258.6595783255</v>
      </c>
      <c r="G5" s="143">
        <f t="shared" si="1"/>
        <v>1178653.8633391613</v>
      </c>
      <c r="H5" s="143">
        <f t="shared" si="1"/>
        <v>1139264.7329404415</v>
      </c>
      <c r="I5" s="143">
        <f t="shared" si="1"/>
        <v>1166331.1467785172</v>
      </c>
      <c r="J5" s="143">
        <f t="shared" si="1"/>
        <v>953613.13311077328</v>
      </c>
      <c r="K5" s="143">
        <f t="shared" si="1"/>
        <v>1098628.9671541625</v>
      </c>
      <c r="L5" s="143">
        <f t="shared" si="1"/>
        <v>1177351.2190300701</v>
      </c>
      <c r="M5" s="143">
        <f t="shared" si="1"/>
        <v>1260883.5612083045</v>
      </c>
      <c r="N5" s="123">
        <f t="shared" si="0"/>
        <v>1202686.1530047627</v>
      </c>
      <c r="O5" s="143">
        <f>SUM(O3:O4)</f>
        <v>639889.50567791704</v>
      </c>
    </row>
    <row r="6" spans="1:15" s="123" customFormat="1" x14ac:dyDescent="0.2">
      <c r="A6" s="123" t="s">
        <v>347</v>
      </c>
      <c r="B6" s="123">
        <f>Storage!B5*SI_Units!$B$11</f>
        <v>13032292.644938361</v>
      </c>
      <c r="C6" s="123">
        <f>Storage!C5*SI_Units!$B$11</f>
        <v>16323838.448567104</v>
      </c>
      <c r="D6" s="123">
        <f>Storage!D5*SI_Units!$B$11</f>
        <v>14771705.783611901</v>
      </c>
      <c r="E6" s="123">
        <f>Storage!E5*SI_Units!$B$11</f>
        <v>15285645.982359391</v>
      </c>
      <c r="F6" s="123">
        <f>Storage!F5*SI_Units!$B$11</f>
        <v>14842434.932323027</v>
      </c>
      <c r="G6" s="123">
        <f>Storage!G5*SI_Units!$B$11</f>
        <v>14985140.657412134</v>
      </c>
      <c r="H6" s="123">
        <f>Storage!H5*SI_Units!$B$11</f>
        <v>14700976.63490078</v>
      </c>
      <c r="I6" s="123">
        <f>Storage!I5*SI_Units!$B$11</f>
        <v>12988133.705531418</v>
      </c>
      <c r="J6" s="123">
        <f>Storage!J5*SI_Units!$B$11</f>
        <v>11570806.390441859</v>
      </c>
      <c r="K6" s="123">
        <f>Storage!K5*SI_Units!$B$11</f>
        <v>11119986.031637629</v>
      </c>
      <c r="L6" s="123">
        <f>Storage!L5*SI_Units!$B$11</f>
        <v>14349742.584834434</v>
      </c>
      <c r="M6" s="123">
        <f>Storage!M5*SI_Units!$B$11</f>
        <v>15213710.986903636</v>
      </c>
      <c r="N6" s="123">
        <f t="shared" si="0"/>
        <v>14098701.231955141</v>
      </c>
      <c r="O6" s="123">
        <f>Storage!N5*SI_Units!$B$11</f>
        <v>11385064.410845982</v>
      </c>
    </row>
    <row r="7" spans="1:15" x14ac:dyDescent="0.2">
      <c r="A7" s="140" t="s">
        <v>348</v>
      </c>
      <c r="B7" s="144">
        <f t="shared" ref="B7:M7" si="2">B5/B6</f>
        <v>0.10546912805209099</v>
      </c>
      <c r="C7" s="144">
        <f t="shared" si="2"/>
        <v>7.2596418464893397E-2</v>
      </c>
      <c r="D7" s="144">
        <f t="shared" si="2"/>
        <v>8.3427950966067241E-2</v>
      </c>
      <c r="E7" s="144">
        <f t="shared" si="2"/>
        <v>8.8142735997230645E-2</v>
      </c>
      <c r="F7" s="144">
        <f t="shared" si="2"/>
        <v>8.8816873079732711E-2</v>
      </c>
      <c r="G7" s="144">
        <f t="shared" si="2"/>
        <v>7.8654841505018572E-2</v>
      </c>
      <c r="H7" s="144">
        <f t="shared" si="2"/>
        <v>7.7495853590827141E-2</v>
      </c>
      <c r="I7" s="144">
        <f t="shared" si="2"/>
        <v>8.979974900333812E-2</v>
      </c>
      <c r="J7" s="144">
        <f t="shared" si="2"/>
        <v>8.2415442876869124E-2</v>
      </c>
      <c r="K7" s="144">
        <f t="shared" si="2"/>
        <v>9.8797693093178138E-2</v>
      </c>
      <c r="L7" s="144">
        <f t="shared" si="2"/>
        <v>8.2046852901344516E-2</v>
      </c>
      <c r="M7" s="144">
        <f t="shared" si="2"/>
        <v>8.2878106616702946E-2</v>
      </c>
      <c r="N7" s="144">
        <f t="shared" si="0"/>
        <v>8.5878470512274444E-2</v>
      </c>
      <c r="O7" s="144">
        <f>O5/O6</f>
        <v>5.6204293852595712E-2</v>
      </c>
    </row>
    <row r="8" spans="1:15" x14ac:dyDescent="0.2">
      <c r="A8" s="123" t="s">
        <v>391</v>
      </c>
      <c r="B8" s="145">
        <f>'Usage-Cost'!B20/$B$12</f>
        <v>0.58196258952042135</v>
      </c>
      <c r="C8" s="145">
        <f>'Usage-Cost'!C20/$B$12</f>
        <v>0.7025283586691049</v>
      </c>
      <c r="D8" s="145">
        <f>'Usage-Cost'!D20/$B$12</f>
        <v>0.82003919940766856</v>
      </c>
      <c r="E8" s="145">
        <f>'Usage-Cost'!E20/$B$12</f>
        <v>0.84095553555002434</v>
      </c>
      <c r="F8" s="145">
        <f>'Usage-Cost'!F20/$B$12</f>
        <v>0.79190038256418049</v>
      </c>
      <c r="G8" s="145">
        <f>'Usage-Cost'!G20/$B$12</f>
        <v>0.76754962587784803</v>
      </c>
      <c r="H8" s="145">
        <f>'Usage-Cost'!H20/$B$12</f>
        <v>0.78256236432557535</v>
      </c>
      <c r="I8" s="145">
        <f>'Usage-Cost'!I20/$B$12</f>
        <v>0.95677506329705098</v>
      </c>
      <c r="J8" s="145">
        <f>'Usage-Cost'!J20/$B$12</f>
        <v>1.0063294029195182</v>
      </c>
      <c r="K8" s="145">
        <f>'Usage-Cost'!K20/$B$12</f>
        <v>1.0330347461844791</v>
      </c>
      <c r="L8" s="145">
        <f>'Usage-Cost'!L20/$B$12</f>
        <v>1.1151980425717867</v>
      </c>
      <c r="M8" s="145">
        <f>'Usage-Cost'!M20/$B$12</f>
        <v>1.3662401045211416</v>
      </c>
      <c r="N8" s="145">
        <f t="shared" si="0"/>
        <v>0.89708961795073339</v>
      </c>
      <c r="O8" s="145">
        <f>'Usage-Cost'!N20/$B$12</f>
        <v>1.4443275453684725</v>
      </c>
    </row>
    <row r="9" spans="1:15" x14ac:dyDescent="0.2">
      <c r="A9" s="123" t="s">
        <v>353</v>
      </c>
      <c r="B9" s="145">
        <f>'Usage-Cost'!B21/$B$12</f>
        <v>0.1106003402527754</v>
      </c>
      <c r="C9" s="145">
        <f>'Usage-Cost'!C21/$B$12</f>
        <v>0.13271384929337501</v>
      </c>
      <c r="D9" s="145">
        <f>'Usage-Cost'!D21/$B$12</f>
        <v>0.20398092968566334</v>
      </c>
      <c r="E9" s="145">
        <f>'Usage-Cost'!E21/$B$12</f>
        <v>0.25134513494352845</v>
      </c>
      <c r="F9" s="145">
        <f>'Usage-Cost'!F21/$B$12</f>
        <v>0.21854522092967321</v>
      </c>
      <c r="G9" s="145">
        <f>'Usage-Cost'!G21/$B$12</f>
        <v>0.17684196054768458</v>
      </c>
      <c r="H9" s="145">
        <f>'Usage-Cost'!H21/$B$12</f>
        <v>0.15449942836877209</v>
      </c>
      <c r="I9" s="145">
        <f>'Usage-Cost'!I21/$B$12</f>
        <v>0.24996451548538029</v>
      </c>
      <c r="J9" s="145">
        <f>'Usage-Cost'!J21/$B$12</f>
        <v>0.24541419562519246</v>
      </c>
      <c r="K9" s="145">
        <f>'Usage-Cost'!K21/$B$12</f>
        <v>0.19349956131072693</v>
      </c>
      <c r="L9" s="145">
        <f>'Usage-Cost'!L21/$B$12</f>
        <v>0.20637724416692879</v>
      </c>
      <c r="M9" s="145">
        <f>'Usage-Cost'!M21/$B$12</f>
        <v>0.209102734075889</v>
      </c>
      <c r="N9" s="145">
        <f t="shared" si="0"/>
        <v>0.19607375955713247</v>
      </c>
      <c r="O9" s="145">
        <f>'Usage-Cost'!N21/$B$12</f>
        <v>0.22620605388214812</v>
      </c>
    </row>
    <row r="10" spans="1:15" x14ac:dyDescent="0.2">
      <c r="A10" s="180" t="s">
        <v>350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 t="e">
        <f>AVERAGE(B10:M10)</f>
        <v>#DIV/0!</v>
      </c>
      <c r="O10" s="124"/>
    </row>
    <row r="11" spans="1:15" x14ac:dyDescent="0.2">
      <c r="A11" s="123" t="s">
        <v>352</v>
      </c>
      <c r="B11" s="140">
        <v>1233.4892384681484</v>
      </c>
      <c r="N11" s="140">
        <f>AVERAGE(B11:M11)</f>
        <v>1233.4892384681484</v>
      </c>
    </row>
    <row r="12" spans="1:15" x14ac:dyDescent="0.2">
      <c r="A12" s="180" t="s">
        <v>346</v>
      </c>
      <c r="B12" s="124">
        <v>2.8316846591999991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>
        <f>AVERAGE(B12:M12)</f>
        <v>2.8316846591999991</v>
      </c>
      <c r="O12" s="124"/>
    </row>
  </sheetData>
  <phoneticPr fontId="7" type="noConversion"/>
  <pageMargins left="0.75" right="0.75" top="1" bottom="1" header="0.5" footer="0.5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Conversions</vt:lpstr>
      <vt:lpstr>Usage-Cost</vt:lpstr>
      <vt:lpstr>Consumption-City</vt:lpstr>
      <vt:lpstr>Ag-Pumps</vt:lpstr>
      <vt:lpstr>Ag-Pumps(PGnE)</vt:lpstr>
      <vt:lpstr>Storage</vt:lpstr>
      <vt:lpstr>SI_Units</vt:lpstr>
      <vt:lpstr>Acceleration</vt:lpstr>
      <vt:lpstr>Ag_Pumps_PGnE</vt:lpstr>
      <vt:lpstr>Ag_Well_Pumps</vt:lpstr>
      <vt:lpstr>Cal_Poly_Agricultural_Water_from_Whale_Rock_Reservoir__acre_feet</vt:lpstr>
      <vt:lpstr>Cal_Poly_Agricultural_Water_Use__acre_feet</vt:lpstr>
      <vt:lpstr>Cal_Poly_Domestic_Water_Use</vt:lpstr>
      <vt:lpstr>Cal_Poly_Domestic_Water_Use_from_billings</vt:lpstr>
      <vt:lpstr>Data</vt:lpstr>
      <vt:lpstr>Energy</vt:lpstr>
      <vt:lpstr>Force</vt:lpstr>
      <vt:lpstr>Power</vt:lpstr>
      <vt:lpstr>Temperature</vt:lpstr>
      <vt:lpstr>Time</vt:lpstr>
      <vt:lpstr>Updates</vt:lpstr>
      <vt:lpstr>Usage_Cost</vt:lpstr>
      <vt:lpstr>Velocity</vt:lpstr>
      <vt:lpstr>Whale_Rock_Reservoir_Storage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atessin</cp:lastModifiedBy>
  <cp:lastPrinted>2009-11-24T18:54:15Z</cp:lastPrinted>
  <dcterms:created xsi:type="dcterms:W3CDTF">2007-10-24T16:52:34Z</dcterms:created>
  <dcterms:modified xsi:type="dcterms:W3CDTF">2010-08-18T21:16:29Z</dcterms:modified>
</cp:coreProperties>
</file>